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 activeTab="1"/>
  </bookViews>
  <sheets>
    <sheet name="세입" sheetId="1" r:id="rId1"/>
    <sheet name="세출" sheetId="2" r:id="rId2"/>
    <sheet name="총괄" sheetId="3" r:id="rId3"/>
  </sheets>
  <definedNames>
    <definedName name="_xlnm.Print_Area" localSheetId="1">세출!$A$1:$L$223</definedName>
    <definedName name="_xlnm.Print_Area" localSheetId="2">총괄!$A$1:$N$139</definedName>
    <definedName name="_xlnm.Print_Titles" localSheetId="0">세입!$3:$4</definedName>
    <definedName name="_xlnm.Print_Titles" localSheetId="1">세출!$2:$3</definedName>
    <definedName name="_xlnm.Print_Titles" localSheetId="2">총괄!$4:$6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3" l="1"/>
  <c r="F215" i="2"/>
  <c r="F214" i="2"/>
  <c r="E212" i="2"/>
  <c r="F212" i="2" s="1"/>
  <c r="G212" i="2" s="1"/>
  <c r="Q211" i="2"/>
  <c r="F210" i="2"/>
  <c r="F209" i="2"/>
  <c r="E208" i="2"/>
  <c r="E207" i="2" s="1"/>
  <c r="F207" i="2" s="1"/>
  <c r="G207" i="2" s="1"/>
  <c r="N207" i="2"/>
  <c r="D207" i="2"/>
  <c r="Q206" i="2"/>
  <c r="F206" i="2"/>
  <c r="F205" i="2"/>
  <c r="L203" i="2"/>
  <c r="E204" i="2" s="1"/>
  <c r="D203" i="2"/>
  <c r="F202" i="2"/>
  <c r="F201" i="2"/>
  <c r="G201" i="2" s="1"/>
  <c r="M200" i="2"/>
  <c r="E200" i="2"/>
  <c r="F200" i="2" s="1"/>
  <c r="M199" i="2"/>
  <c r="N199" i="2" s="1"/>
  <c r="D199" i="2"/>
  <c r="F198" i="2"/>
  <c r="F197" i="2"/>
  <c r="G197" i="2" s="1"/>
  <c r="F196" i="2"/>
  <c r="E195" i="2"/>
  <c r="D195" i="2"/>
  <c r="F195" i="2" s="1"/>
  <c r="G195" i="2" s="1"/>
  <c r="Q194" i="2"/>
  <c r="F194" i="2"/>
  <c r="M193" i="2"/>
  <c r="F193" i="2"/>
  <c r="G193" i="2" s="1"/>
  <c r="M192" i="2"/>
  <c r="N193" i="2" s="1"/>
  <c r="L191" i="2"/>
  <c r="E192" i="2" s="1"/>
  <c r="D191" i="2"/>
  <c r="Q190" i="2"/>
  <c r="N190" i="2"/>
  <c r="F190" i="2"/>
  <c r="M189" i="2"/>
  <c r="F189" i="2"/>
  <c r="G189" i="2" s="1"/>
  <c r="M188" i="2"/>
  <c r="F188" i="2"/>
  <c r="N187" i="2"/>
  <c r="M187" i="2"/>
  <c r="E187" i="2"/>
  <c r="D187" i="2"/>
  <c r="F187" i="2" s="1"/>
  <c r="G187" i="2" s="1"/>
  <c r="M181" i="2"/>
  <c r="N176" i="2" s="1"/>
  <c r="Q179" i="2"/>
  <c r="F179" i="2"/>
  <c r="L178" i="2"/>
  <c r="E177" i="2" s="1"/>
  <c r="F178" i="2"/>
  <c r="D176" i="2"/>
  <c r="L173" i="2"/>
  <c r="F170" i="2"/>
  <c r="G169" i="2"/>
  <c r="F169" i="2"/>
  <c r="L168" i="2"/>
  <c r="L167" i="2"/>
  <c r="E167" i="2" s="1"/>
  <c r="M166" i="2"/>
  <c r="D166" i="2"/>
  <c r="M165" i="2"/>
  <c r="E165" i="2"/>
  <c r="F165" i="2" s="1"/>
  <c r="G165" i="2" s="1"/>
  <c r="D165" i="2"/>
  <c r="E164" i="2"/>
  <c r="D164" i="2"/>
  <c r="F164" i="2" s="1"/>
  <c r="G164" i="2" s="1"/>
  <c r="D163" i="2"/>
  <c r="D162" i="2" s="1"/>
  <c r="L158" i="2"/>
  <c r="L157" i="2"/>
  <c r="L156" i="2"/>
  <c r="L148" i="2"/>
  <c r="L144" i="2"/>
  <c r="L142" i="2"/>
  <c r="L140" i="2"/>
  <c r="L139" i="2"/>
  <c r="L134" i="2"/>
  <c r="L128" i="2"/>
  <c r="F123" i="2"/>
  <c r="M121" i="2"/>
  <c r="N121" i="2" s="1"/>
  <c r="Q122" i="2" s="1"/>
  <c r="L121" i="2"/>
  <c r="E122" i="2" s="1"/>
  <c r="D121" i="2"/>
  <c r="F119" i="2"/>
  <c r="F118" i="2"/>
  <c r="F117" i="2"/>
  <c r="N116" i="2"/>
  <c r="M116" i="2"/>
  <c r="E116" i="2"/>
  <c r="F116" i="2" s="1"/>
  <c r="D116" i="2"/>
  <c r="F115" i="2"/>
  <c r="F114" i="2"/>
  <c r="F113" i="2"/>
  <c r="G113" i="2" s="1"/>
  <c r="E112" i="2"/>
  <c r="D112" i="2"/>
  <c r="F112" i="2" s="1"/>
  <c r="G112" i="2" s="1"/>
  <c r="M111" i="2"/>
  <c r="E111" i="2"/>
  <c r="F111" i="2" s="1"/>
  <c r="D111" i="2"/>
  <c r="E110" i="2"/>
  <c r="F110" i="2" s="1"/>
  <c r="D110" i="2"/>
  <c r="D109" i="2"/>
  <c r="D108" i="2"/>
  <c r="G107" i="2"/>
  <c r="F107" i="2"/>
  <c r="F106" i="2"/>
  <c r="F105" i="2"/>
  <c r="L104" i="2"/>
  <c r="M104" i="2" s="1"/>
  <c r="E104" i="2"/>
  <c r="F104" i="2" s="1"/>
  <c r="G104" i="2" s="1"/>
  <c r="D104" i="2"/>
  <c r="F102" i="2"/>
  <c r="G101" i="2"/>
  <c r="F101" i="2"/>
  <c r="E100" i="2"/>
  <c r="F100" i="2" s="1"/>
  <c r="M99" i="2"/>
  <c r="D99" i="2"/>
  <c r="F98" i="2"/>
  <c r="F97" i="2"/>
  <c r="E96" i="2"/>
  <c r="E95" i="2" s="1"/>
  <c r="F95" i="2" s="1"/>
  <c r="D95" i="2"/>
  <c r="P91" i="2"/>
  <c r="E91" i="2"/>
  <c r="E88" i="2" s="1"/>
  <c r="F88" i="2" s="1"/>
  <c r="G88" i="2" s="1"/>
  <c r="G90" i="2"/>
  <c r="F90" i="2"/>
  <c r="F89" i="2"/>
  <c r="E89" i="2"/>
  <c r="M88" i="2"/>
  <c r="D88" i="2"/>
  <c r="L85" i="2"/>
  <c r="F85" i="2"/>
  <c r="G84" i="2"/>
  <c r="F84" i="2"/>
  <c r="E83" i="2"/>
  <c r="F83" i="2" s="1"/>
  <c r="O82" i="2"/>
  <c r="Q82" i="2" s="1"/>
  <c r="D82" i="2"/>
  <c r="L76" i="2"/>
  <c r="L74" i="2"/>
  <c r="L70" i="2"/>
  <c r="E68" i="2" s="1"/>
  <c r="F70" i="2"/>
  <c r="L69" i="2"/>
  <c r="F69" i="2"/>
  <c r="P67" i="2"/>
  <c r="O67" i="2"/>
  <c r="Q67" i="2" s="1"/>
  <c r="D67" i="2"/>
  <c r="M66" i="2"/>
  <c r="E65" i="2"/>
  <c r="F65" i="2" s="1"/>
  <c r="G65" i="2" s="1"/>
  <c r="D63" i="2"/>
  <c r="E59" i="2"/>
  <c r="E44" i="2" s="1"/>
  <c r="L58" i="2"/>
  <c r="F58" i="2"/>
  <c r="F57" i="2"/>
  <c r="N56" i="2"/>
  <c r="F56" i="2"/>
  <c r="G56" i="2" s="1"/>
  <c r="E56" i="2"/>
  <c r="D56" i="2"/>
  <c r="G55" i="2"/>
  <c r="F55" i="2"/>
  <c r="F54" i="2"/>
  <c r="F53" i="2"/>
  <c r="N52" i="2"/>
  <c r="L52" i="2"/>
  <c r="E52" i="2"/>
  <c r="F52" i="2" s="1"/>
  <c r="G52" i="2" s="1"/>
  <c r="D52" i="2"/>
  <c r="L48" i="2"/>
  <c r="F48" i="2"/>
  <c r="G48" i="2" s="1"/>
  <c r="E48" i="2"/>
  <c r="F47" i="2"/>
  <c r="F46" i="2"/>
  <c r="E45" i="2"/>
  <c r="F45" i="2" s="1"/>
  <c r="G45" i="2" s="1"/>
  <c r="D45" i="2"/>
  <c r="N44" i="2"/>
  <c r="Q44" i="2" s="1"/>
  <c r="M44" i="2"/>
  <c r="D44" i="2"/>
  <c r="F43" i="2"/>
  <c r="E43" i="2"/>
  <c r="E42" i="2"/>
  <c r="F42" i="2" s="1"/>
  <c r="D42" i="2"/>
  <c r="D41" i="2" s="1"/>
  <c r="M39" i="2"/>
  <c r="M38" i="2"/>
  <c r="M37" i="2"/>
  <c r="N37" i="2" s="1"/>
  <c r="L37" i="2"/>
  <c r="E38" i="2" s="1"/>
  <c r="D37" i="2"/>
  <c r="M36" i="2"/>
  <c r="L36" i="2"/>
  <c r="L35" i="2"/>
  <c r="M35" i="2" s="1"/>
  <c r="F35" i="2"/>
  <c r="L34" i="2"/>
  <c r="M34" i="2" s="1"/>
  <c r="F34" i="2"/>
  <c r="L33" i="2"/>
  <c r="G33" i="2"/>
  <c r="F33" i="2"/>
  <c r="M32" i="2"/>
  <c r="L32" i="2"/>
  <c r="F32" i="2"/>
  <c r="G32" i="2" s="1"/>
  <c r="E32" i="2"/>
  <c r="D32" i="2"/>
  <c r="F31" i="2"/>
  <c r="M30" i="2"/>
  <c r="F30" i="2"/>
  <c r="M29" i="2"/>
  <c r="N28" i="2" s="1"/>
  <c r="G29" i="2"/>
  <c r="F29" i="2"/>
  <c r="M28" i="2"/>
  <c r="F28" i="2"/>
  <c r="G28" i="2" s="1"/>
  <c r="E28" i="2"/>
  <c r="D28" i="2"/>
  <c r="M27" i="2"/>
  <c r="M26" i="2"/>
  <c r="M25" i="2"/>
  <c r="Q24" i="2"/>
  <c r="M24" i="2"/>
  <c r="Q23" i="2"/>
  <c r="M23" i="2"/>
  <c r="F23" i="2"/>
  <c r="Q22" i="2"/>
  <c r="M22" i="2"/>
  <c r="N20" i="2" s="1"/>
  <c r="F22" i="2"/>
  <c r="Q21" i="2"/>
  <c r="M21" i="2"/>
  <c r="F21" i="2"/>
  <c r="G21" i="2" s="1"/>
  <c r="M20" i="2"/>
  <c r="E20" i="2"/>
  <c r="D20" i="2"/>
  <c r="F20" i="2" s="1"/>
  <c r="G20" i="2" s="1"/>
  <c r="F19" i="2"/>
  <c r="E19" i="2"/>
  <c r="M18" i="2"/>
  <c r="F18" i="2"/>
  <c r="E18" i="2"/>
  <c r="M17" i="2"/>
  <c r="G17" i="2"/>
  <c r="F17" i="2"/>
  <c r="M16" i="2"/>
  <c r="N16" i="2" s="1"/>
  <c r="E16" i="2"/>
  <c r="F16" i="2" s="1"/>
  <c r="G16" i="2" s="1"/>
  <c r="D16" i="2"/>
  <c r="F15" i="2"/>
  <c r="E15" i="2"/>
  <c r="E14" i="2"/>
  <c r="E10" i="2" s="1"/>
  <c r="D12" i="2"/>
  <c r="D11" i="2"/>
  <c r="D7" i="2" s="1"/>
  <c r="M7" i="2"/>
  <c r="M6" i="2"/>
  <c r="M5" i="2"/>
  <c r="M4" i="2" s="1"/>
  <c r="D5" i="2"/>
  <c r="N32" i="2" l="1"/>
  <c r="E67" i="2"/>
  <c r="F67" i="2" s="1"/>
  <c r="G67" i="2" s="1"/>
  <c r="F68" i="2"/>
  <c r="G68" i="2" s="1"/>
  <c r="E64" i="2"/>
  <c r="F177" i="2"/>
  <c r="G177" i="2" s="1"/>
  <c r="E176" i="2"/>
  <c r="F176" i="2" s="1"/>
  <c r="G176" i="2" s="1"/>
  <c r="F44" i="2"/>
  <c r="G44" i="2" s="1"/>
  <c r="F122" i="2"/>
  <c r="G122" i="2" s="1"/>
  <c r="E121" i="2"/>
  <c r="F121" i="2" s="1"/>
  <c r="G121" i="2" s="1"/>
  <c r="E109" i="2"/>
  <c r="D4" i="2"/>
  <c r="E6" i="2"/>
  <c r="F10" i="2"/>
  <c r="G10" i="2" s="1"/>
  <c r="E13" i="2"/>
  <c r="F38" i="2"/>
  <c r="G38" i="2" s="1"/>
  <c r="F167" i="2"/>
  <c r="G167" i="2" s="1"/>
  <c r="E163" i="2"/>
  <c r="E166" i="2"/>
  <c r="F166" i="2" s="1"/>
  <c r="G166" i="2" s="1"/>
  <c r="E191" i="2"/>
  <c r="F191" i="2" s="1"/>
  <c r="G191" i="2" s="1"/>
  <c r="F192" i="2"/>
  <c r="E203" i="2"/>
  <c r="F203" i="2" s="1"/>
  <c r="F204" i="2"/>
  <c r="F14" i="2"/>
  <c r="D8" i="2"/>
  <c r="D6" i="2"/>
  <c r="E37" i="2"/>
  <c r="F37" i="2" s="1"/>
  <c r="G37" i="2" s="1"/>
  <c r="E41" i="2"/>
  <c r="F41" i="2" s="1"/>
  <c r="G41" i="2" s="1"/>
  <c r="E99" i="2"/>
  <c r="F99" i="2" s="1"/>
  <c r="G99" i="2" s="1"/>
  <c r="F59" i="2"/>
  <c r="G59" i="2" s="1"/>
  <c r="E66" i="2"/>
  <c r="F66" i="2" s="1"/>
  <c r="G66" i="2" s="1"/>
  <c r="F91" i="2"/>
  <c r="F96" i="2"/>
  <c r="M203" i="2"/>
  <c r="F208" i="2"/>
  <c r="G208" i="2" s="1"/>
  <c r="M191" i="2"/>
  <c r="N191" i="2" s="1"/>
  <c r="E82" i="2"/>
  <c r="F82" i="2" s="1"/>
  <c r="G82" i="2" s="1"/>
  <c r="E199" i="2"/>
  <c r="F199" i="2" s="1"/>
  <c r="G199" i="2" s="1"/>
  <c r="L101" i="3"/>
  <c r="E108" i="2" l="1"/>
  <c r="F108" i="2" s="1"/>
  <c r="G108" i="2" s="1"/>
  <c r="F109" i="2"/>
  <c r="G109" i="2" s="1"/>
  <c r="E63" i="2"/>
  <c r="F63" i="2" s="1"/>
  <c r="G63" i="2" s="1"/>
  <c r="F64" i="2"/>
  <c r="G64" i="2" s="1"/>
  <c r="F13" i="2"/>
  <c r="G13" i="2" s="1"/>
  <c r="E9" i="2"/>
  <c r="E12" i="2"/>
  <c r="F12" i="2" s="1"/>
  <c r="G12" i="2" s="1"/>
  <c r="E162" i="2"/>
  <c r="F162" i="2" s="1"/>
  <c r="G162" i="2" s="1"/>
  <c r="F163" i="2"/>
  <c r="G163" i="2" s="1"/>
  <c r="E11" i="2"/>
  <c r="M15" i="2"/>
  <c r="F6" i="2"/>
  <c r="G6" i="2" s="1"/>
  <c r="L121" i="3"/>
  <c r="L102" i="3"/>
  <c r="L88" i="3"/>
  <c r="L57" i="3"/>
  <c r="L52" i="3"/>
  <c r="L48" i="3"/>
  <c r="L44" i="3"/>
  <c r="K103" i="3"/>
  <c r="K102" i="3"/>
  <c r="K101" i="3"/>
  <c r="K100" i="3"/>
  <c r="M75" i="3"/>
  <c r="N75" i="3" s="1"/>
  <c r="M74" i="3"/>
  <c r="N74" i="3" s="1"/>
  <c r="M73" i="3"/>
  <c r="N73" i="3" s="1"/>
  <c r="L72" i="3"/>
  <c r="K72" i="3"/>
  <c r="K59" i="3"/>
  <c r="D8" i="3"/>
  <c r="F25" i="1"/>
  <c r="E28" i="1"/>
  <c r="E25" i="1"/>
  <c r="E19" i="1"/>
  <c r="E15" i="1"/>
  <c r="E8" i="1" s="1"/>
  <c r="E10" i="1"/>
  <c r="E9" i="1" s="1"/>
  <c r="E6" i="1" s="1"/>
  <c r="E5" i="1" s="1"/>
  <c r="E8" i="2" l="1"/>
  <c r="F8" i="2" s="1"/>
  <c r="G8" i="2" s="1"/>
  <c r="E5" i="2"/>
  <c r="F9" i="2"/>
  <c r="G9" i="2" s="1"/>
  <c r="E7" i="2"/>
  <c r="F7" i="2" s="1"/>
  <c r="G7" i="2" s="1"/>
  <c r="F11" i="2"/>
  <c r="G11" i="2" s="1"/>
  <c r="M72" i="3"/>
  <c r="N72" i="3" s="1"/>
  <c r="F5" i="2" l="1"/>
  <c r="G5" i="2" s="1"/>
  <c r="E4" i="2"/>
  <c r="F4" i="2" s="1"/>
  <c r="G4" i="2" s="1"/>
  <c r="D10" i="1"/>
  <c r="D9" i="1" s="1"/>
  <c r="D6" i="1" s="1"/>
  <c r="D15" i="1"/>
  <c r="D8" i="1" s="1"/>
  <c r="D19" i="1"/>
  <c r="D7" i="1" s="1"/>
  <c r="D25" i="1"/>
  <c r="D28" i="1"/>
  <c r="D5" i="1" l="1"/>
  <c r="L137" i="3" l="1"/>
  <c r="L103" i="3" l="1"/>
  <c r="L85" i="3"/>
  <c r="L87" i="3"/>
  <c r="K87" i="3"/>
  <c r="K86" i="3"/>
  <c r="K85" i="3"/>
  <c r="L58" i="3"/>
  <c r="L59" i="3"/>
  <c r="K58" i="3"/>
  <c r="K57" i="3"/>
  <c r="L41" i="3"/>
  <c r="L43" i="3"/>
  <c r="K42" i="3"/>
  <c r="K41" i="3"/>
  <c r="K17" i="3"/>
  <c r="K13" i="3" s="1"/>
  <c r="K18" i="3"/>
  <c r="K16" i="3"/>
  <c r="L139" i="3"/>
  <c r="M139" i="3" s="1"/>
  <c r="M138" i="3"/>
  <c r="M136" i="3"/>
  <c r="N136" i="3" s="1"/>
  <c r="M135" i="3"/>
  <c r="N135" i="3" s="1"/>
  <c r="M134" i="3"/>
  <c r="L133" i="3"/>
  <c r="K133" i="3"/>
  <c r="M132" i="3"/>
  <c r="N132" i="3" s="1"/>
  <c r="M131" i="3"/>
  <c r="N131" i="3" s="1"/>
  <c r="M130" i="3"/>
  <c r="N130" i="3" s="1"/>
  <c r="L129" i="3"/>
  <c r="K129" i="3"/>
  <c r="M128" i="3"/>
  <c r="N128" i="3" s="1"/>
  <c r="M127" i="3"/>
  <c r="N127" i="3" s="1"/>
  <c r="M126" i="3"/>
  <c r="N126" i="3" s="1"/>
  <c r="L125" i="3"/>
  <c r="K125" i="3"/>
  <c r="M124" i="3"/>
  <c r="N124" i="3" s="1"/>
  <c r="M122" i="3"/>
  <c r="N122" i="3" s="1"/>
  <c r="K121" i="3"/>
  <c r="M120" i="3"/>
  <c r="N120" i="3" s="1"/>
  <c r="M119" i="3"/>
  <c r="N119" i="3" s="1"/>
  <c r="M118" i="3"/>
  <c r="N118" i="3" s="1"/>
  <c r="L117" i="3"/>
  <c r="K117" i="3"/>
  <c r="M115" i="3"/>
  <c r="N115" i="3" s="1"/>
  <c r="M114" i="3"/>
  <c r="N114" i="3" s="1"/>
  <c r="M113" i="3"/>
  <c r="N113" i="3" s="1"/>
  <c r="L112" i="3"/>
  <c r="K112" i="3"/>
  <c r="M111" i="3"/>
  <c r="N111" i="3" s="1"/>
  <c r="M110" i="3"/>
  <c r="N110" i="3" s="1"/>
  <c r="M109" i="3"/>
  <c r="N109" i="3" s="1"/>
  <c r="L108" i="3"/>
  <c r="K108" i="3"/>
  <c r="M107" i="3"/>
  <c r="N107" i="3" s="1"/>
  <c r="M106" i="3"/>
  <c r="N106" i="3" s="1"/>
  <c r="M105" i="3"/>
  <c r="N105" i="3" s="1"/>
  <c r="L104" i="3"/>
  <c r="K104" i="3"/>
  <c r="M99" i="3"/>
  <c r="M98" i="3"/>
  <c r="N98" i="3" s="1"/>
  <c r="M97" i="3"/>
  <c r="L96" i="3"/>
  <c r="K96" i="3"/>
  <c r="M95" i="3"/>
  <c r="N95" i="3" s="1"/>
  <c r="M94" i="3"/>
  <c r="N94" i="3" s="1"/>
  <c r="M93" i="3"/>
  <c r="L92" i="3"/>
  <c r="K92" i="3"/>
  <c r="M91" i="3"/>
  <c r="M89" i="3"/>
  <c r="L86" i="3"/>
  <c r="K88" i="3"/>
  <c r="M83" i="3"/>
  <c r="M82" i="3"/>
  <c r="N82" i="3" s="1"/>
  <c r="M81" i="3"/>
  <c r="L80" i="3"/>
  <c r="K80" i="3"/>
  <c r="M79" i="3"/>
  <c r="N79" i="3" s="1"/>
  <c r="M78" i="3"/>
  <c r="N78" i="3" s="1"/>
  <c r="M77" i="3"/>
  <c r="L76" i="3"/>
  <c r="K76" i="3"/>
  <c r="M71" i="3"/>
  <c r="N71" i="3" s="1"/>
  <c r="M70" i="3"/>
  <c r="N70" i="3" s="1"/>
  <c r="M69" i="3"/>
  <c r="N69" i="3" s="1"/>
  <c r="L68" i="3"/>
  <c r="K68" i="3"/>
  <c r="M67" i="3"/>
  <c r="N67" i="3" s="1"/>
  <c r="M66" i="3"/>
  <c r="N66" i="3" s="1"/>
  <c r="M65" i="3"/>
  <c r="N65" i="3" s="1"/>
  <c r="L64" i="3"/>
  <c r="K64" i="3"/>
  <c r="M63" i="3"/>
  <c r="N63" i="3" s="1"/>
  <c r="M62" i="3"/>
  <c r="N62" i="3" s="1"/>
  <c r="M61" i="3"/>
  <c r="N61" i="3" s="1"/>
  <c r="L60" i="3"/>
  <c r="K60" i="3"/>
  <c r="M55" i="3"/>
  <c r="M53" i="3"/>
  <c r="M54" i="3"/>
  <c r="N54" i="3" s="1"/>
  <c r="K52" i="3"/>
  <c r="M51" i="3"/>
  <c r="M49" i="3"/>
  <c r="M50" i="3"/>
  <c r="N50" i="3" s="1"/>
  <c r="K48" i="3"/>
  <c r="M47" i="3"/>
  <c r="M45" i="3"/>
  <c r="K44" i="3"/>
  <c r="L39" i="3"/>
  <c r="M39" i="3" s="1"/>
  <c r="K36" i="3"/>
  <c r="N35" i="3"/>
  <c r="M34" i="3"/>
  <c r="N34" i="3" s="1"/>
  <c r="M33" i="3"/>
  <c r="N33" i="3" s="1"/>
  <c r="K31" i="3"/>
  <c r="F30" i="3" s="1"/>
  <c r="G30" i="3" s="1"/>
  <c r="M30" i="3"/>
  <c r="N30" i="3" s="1"/>
  <c r="M29" i="3"/>
  <c r="N29" i="3" s="1"/>
  <c r="K27" i="3"/>
  <c r="M26" i="3"/>
  <c r="N26" i="3" s="1"/>
  <c r="M25" i="3"/>
  <c r="N25" i="3" s="1"/>
  <c r="K23" i="3"/>
  <c r="L22" i="3"/>
  <c r="M22" i="3" s="1"/>
  <c r="N22" i="3" s="1"/>
  <c r="L21" i="3"/>
  <c r="M21" i="3" s="1"/>
  <c r="N21" i="3" s="1"/>
  <c r="K19" i="3"/>
  <c r="F31" i="3"/>
  <c r="G31" i="3" s="1"/>
  <c r="D29" i="3"/>
  <c r="F28" i="3"/>
  <c r="G28" i="3" s="1"/>
  <c r="D26" i="3"/>
  <c r="D21" i="3"/>
  <c r="D9" i="3" s="1"/>
  <c r="F19" i="3"/>
  <c r="G19" i="3" s="1"/>
  <c r="D17" i="3"/>
  <c r="D10" i="3" s="1"/>
  <c r="D12" i="3"/>
  <c r="D11" i="3" s="1"/>
  <c r="M137" i="3"/>
  <c r="N137" i="3" s="1"/>
  <c r="K56" i="3" l="1"/>
  <c r="L56" i="3"/>
  <c r="M56" i="3" s="1"/>
  <c r="N56" i="3" s="1"/>
  <c r="D7" i="3"/>
  <c r="K12" i="3"/>
  <c r="L18" i="3"/>
  <c r="L14" i="3" s="1"/>
  <c r="K40" i="3"/>
  <c r="L17" i="3"/>
  <c r="K14" i="3"/>
  <c r="K15" i="3"/>
  <c r="M44" i="3"/>
  <c r="N44" i="3" s="1"/>
  <c r="M64" i="3"/>
  <c r="N64" i="3" s="1"/>
  <c r="M76" i="3"/>
  <c r="N76" i="3" s="1"/>
  <c r="M80" i="3"/>
  <c r="N80" i="3" s="1"/>
  <c r="M96" i="3"/>
  <c r="N96" i="3" s="1"/>
  <c r="M108" i="3"/>
  <c r="N108" i="3" s="1"/>
  <c r="M117" i="3"/>
  <c r="N117" i="3" s="1"/>
  <c r="M125" i="3"/>
  <c r="N125" i="3" s="1"/>
  <c r="K84" i="3"/>
  <c r="M41" i="3"/>
  <c r="M43" i="3"/>
  <c r="M48" i="3"/>
  <c r="N48" i="3" s="1"/>
  <c r="M52" i="3"/>
  <c r="N52" i="3" s="1"/>
  <c r="M58" i="3"/>
  <c r="N58" i="3" s="1"/>
  <c r="M59" i="3"/>
  <c r="N59" i="3" s="1"/>
  <c r="M60" i="3"/>
  <c r="N60" i="3" s="1"/>
  <c r="M68" i="3"/>
  <c r="N68" i="3" s="1"/>
  <c r="M85" i="3"/>
  <c r="M87" i="3"/>
  <c r="N87" i="3" s="1"/>
  <c r="M88" i="3"/>
  <c r="M92" i="3"/>
  <c r="N92" i="3" s="1"/>
  <c r="M103" i="3"/>
  <c r="N103" i="3" s="1"/>
  <c r="M104" i="3"/>
  <c r="N104" i="3" s="1"/>
  <c r="M112" i="3"/>
  <c r="N112" i="3" s="1"/>
  <c r="M121" i="3"/>
  <c r="N121" i="3" s="1"/>
  <c r="M129" i="3"/>
  <c r="N129" i="3" s="1"/>
  <c r="M133" i="3"/>
  <c r="N133" i="3" s="1"/>
  <c r="M57" i="3"/>
  <c r="N57" i="3" s="1"/>
  <c r="M90" i="3"/>
  <c r="M86" i="3"/>
  <c r="N86" i="3" s="1"/>
  <c r="M123" i="3"/>
  <c r="N123" i="3" s="1"/>
  <c r="L42" i="3"/>
  <c r="L84" i="3"/>
  <c r="E29" i="3"/>
  <c r="F29" i="3" s="1"/>
  <c r="G29" i="3" s="1"/>
  <c r="L32" i="3"/>
  <c r="M32" i="3" s="1"/>
  <c r="L24" i="3"/>
  <c r="M24" i="3" s="1"/>
  <c r="N24" i="3" s="1"/>
  <c r="E16" i="3"/>
  <c r="F16" i="3" s="1"/>
  <c r="G16" i="3" s="1"/>
  <c r="E15" i="3"/>
  <c r="F15" i="3" s="1"/>
  <c r="G15" i="3" s="1"/>
  <c r="E14" i="3"/>
  <c r="F14" i="3" s="1"/>
  <c r="G14" i="3" s="1"/>
  <c r="K10" i="1"/>
  <c r="E13" i="3" s="1"/>
  <c r="F13" i="3" s="1"/>
  <c r="G13" i="3" s="1"/>
  <c r="K8" i="3" l="1"/>
  <c r="K9" i="3"/>
  <c r="L13" i="3"/>
  <c r="L9" i="3" s="1"/>
  <c r="K10" i="3"/>
  <c r="K11" i="3"/>
  <c r="L10" i="3"/>
  <c r="L23" i="3"/>
  <c r="M23" i="3" s="1"/>
  <c r="N23" i="3" s="1"/>
  <c r="L31" i="3"/>
  <c r="M31" i="3" s="1"/>
  <c r="N31" i="3" s="1"/>
  <c r="M38" i="3"/>
  <c r="N38" i="3" s="1"/>
  <c r="E12" i="3"/>
  <c r="M84" i="3"/>
  <c r="N84" i="3" s="1"/>
  <c r="M101" i="3"/>
  <c r="N101" i="3" s="1"/>
  <c r="M46" i="3"/>
  <c r="N46" i="3" s="1"/>
  <c r="M18" i="3"/>
  <c r="N18" i="3" s="1"/>
  <c r="M14" i="3"/>
  <c r="N14" i="3" s="1"/>
  <c r="K9" i="1"/>
  <c r="K7" i="3" l="1"/>
  <c r="M10" i="3"/>
  <c r="N10" i="3" s="1"/>
  <c r="F12" i="3"/>
  <c r="G12" i="3" s="1"/>
  <c r="E11" i="3"/>
  <c r="F11" i="3" s="1"/>
  <c r="G11" i="3" s="1"/>
  <c r="L40" i="3"/>
  <c r="M40" i="3" s="1"/>
  <c r="N40" i="3" s="1"/>
  <c r="M42" i="3"/>
  <c r="N42" i="3" s="1"/>
  <c r="M17" i="3" l="1"/>
  <c r="N17" i="3" s="1"/>
  <c r="M13" i="3" l="1"/>
  <c r="N13" i="3" s="1"/>
  <c r="M102" i="3" l="1"/>
  <c r="N102" i="3" s="1"/>
  <c r="L100" i="3"/>
  <c r="M100" i="3" s="1"/>
  <c r="N100" i="3" s="1"/>
  <c r="M9" i="3"/>
  <c r="N9" i="3" s="1"/>
  <c r="F16" i="1" l="1"/>
  <c r="E18" i="3"/>
  <c r="F20" i="1"/>
  <c r="E22" i="3"/>
  <c r="F22" i="1"/>
  <c r="G22" i="1" s="1"/>
  <c r="E24" i="3"/>
  <c r="F24" i="3" s="1"/>
  <c r="G24" i="3" s="1"/>
  <c r="F21" i="1"/>
  <c r="G21" i="1" s="1"/>
  <c r="E23" i="3"/>
  <c r="F23" i="3" s="1"/>
  <c r="G23" i="3" s="1"/>
  <c r="F22" i="3" l="1"/>
  <c r="G22" i="3" s="1"/>
  <c r="E21" i="3"/>
  <c r="E17" i="3"/>
  <c r="F18" i="3"/>
  <c r="G18" i="3" s="1"/>
  <c r="E10" i="3" l="1"/>
  <c r="F17" i="3"/>
  <c r="G17" i="3" s="1"/>
  <c r="E9" i="3"/>
  <c r="F21" i="3"/>
  <c r="G21" i="3" s="1"/>
  <c r="F9" i="3" l="1"/>
  <c r="G9" i="3" s="1"/>
  <c r="P9" i="3"/>
  <c r="P10" i="3"/>
  <c r="F10" i="3"/>
  <c r="G10" i="3" s="1"/>
  <c r="F17" i="1" l="1"/>
  <c r="G17" i="1" s="1"/>
  <c r="F14" i="1" l="1"/>
  <c r="G14" i="1" s="1"/>
  <c r="L37" i="3" l="1"/>
  <c r="L28" i="3"/>
  <c r="L20" i="3"/>
  <c r="M37" i="3" l="1"/>
  <c r="N37" i="3" s="1"/>
  <c r="L36" i="3"/>
  <c r="M36" i="3" s="1"/>
  <c r="N36" i="3" s="1"/>
  <c r="L16" i="3"/>
  <c r="M28" i="3"/>
  <c r="N28" i="3" s="1"/>
  <c r="L27" i="3"/>
  <c r="M27" i="3" s="1"/>
  <c r="N27" i="3" s="1"/>
  <c r="M20" i="3"/>
  <c r="N20" i="3" s="1"/>
  <c r="L19" i="3"/>
  <c r="M19" i="3" s="1"/>
  <c r="N19" i="3" s="1"/>
  <c r="L12" i="3" l="1"/>
  <c r="M16" i="3"/>
  <c r="N16" i="3" s="1"/>
  <c r="L15" i="3"/>
  <c r="M15" i="3" s="1"/>
  <c r="N15" i="3" s="1"/>
  <c r="L11" i="3" l="1"/>
  <c r="M11" i="3" s="1"/>
  <c r="N11" i="3" s="1"/>
  <c r="M12" i="3"/>
  <c r="N12" i="3" s="1"/>
  <c r="L7" i="3" l="1"/>
  <c r="M8" i="3"/>
  <c r="N8" i="3" s="1"/>
  <c r="M7" i="3" l="1"/>
  <c r="N7" i="3" s="1"/>
  <c r="K19" i="1" l="1"/>
  <c r="K15" i="1"/>
  <c r="F11" i="1"/>
  <c r="F12" i="1" l="1"/>
  <c r="F13" i="1"/>
  <c r="F10" i="1" l="1"/>
  <c r="F9" i="1" l="1"/>
  <c r="E27" i="3" l="1"/>
  <c r="F6" i="1"/>
  <c r="G20" i="1"/>
  <c r="F27" i="3" l="1"/>
  <c r="G27" i="3" s="1"/>
  <c r="E26" i="3"/>
  <c r="F15" i="1"/>
  <c r="F26" i="3" l="1"/>
  <c r="G26" i="3" s="1"/>
  <c r="E8" i="3"/>
  <c r="F8" i="1"/>
  <c r="F7" i="1"/>
  <c r="E7" i="3" l="1"/>
  <c r="F8" i="3"/>
  <c r="G8" i="3" s="1"/>
  <c r="P8" i="3"/>
  <c r="K25" i="1"/>
  <c r="F7" i="3" l="1"/>
  <c r="G7" i="3" s="1"/>
  <c r="P7" i="3"/>
  <c r="G13" i="1"/>
  <c r="F26" i="1" l="1"/>
  <c r="G26" i="1" s="1"/>
  <c r="F29" i="1"/>
  <c r="G29" i="1" s="1"/>
  <c r="G16" i="1"/>
  <c r="G12" i="1" l="1"/>
  <c r="G15" i="1"/>
  <c r="G11" i="1"/>
  <c r="G25" i="1" l="1"/>
  <c r="G8" i="1"/>
  <c r="F5" i="1"/>
  <c r="G5" i="1" s="1"/>
  <c r="G9" i="1" l="1"/>
  <c r="F19" i="1" l="1"/>
  <c r="G19" i="1" s="1"/>
  <c r="K28" i="1" l="1"/>
  <c r="F30" i="1" l="1"/>
  <c r="G30" i="1" s="1"/>
  <c r="F28" i="1" l="1"/>
  <c r="G28" i="1" s="1"/>
  <c r="G6" i="1"/>
  <c r="G7" i="1" l="1"/>
</calcChain>
</file>

<file path=xl/sharedStrings.xml><?xml version="1.0" encoding="utf-8"?>
<sst xmlns="http://schemas.openxmlformats.org/spreadsheetml/2006/main" count="714" uniqueCount="400">
  <si>
    <t>관</t>
  </si>
  <si>
    <t>항</t>
  </si>
  <si>
    <t>목</t>
  </si>
  <si>
    <t>증감 (B)-(A)</t>
  </si>
  <si>
    <t>(A)</t>
  </si>
  <si>
    <t>(B)</t>
  </si>
  <si>
    <t>액  수</t>
  </si>
  <si>
    <t>소  계</t>
    <phoneticPr fontId="2" type="noConversion"/>
  </si>
  <si>
    <t>계</t>
    <phoneticPr fontId="2" type="noConversion"/>
  </si>
  <si>
    <t>후  원  금</t>
    <phoneticPr fontId="2" type="noConversion"/>
  </si>
  <si>
    <t>(보)</t>
    <phoneticPr fontId="2" type="noConversion"/>
  </si>
  <si>
    <t>(자)</t>
    <phoneticPr fontId="2" type="noConversion"/>
  </si>
  <si>
    <t>(후)</t>
    <phoneticPr fontId="2" type="noConversion"/>
  </si>
  <si>
    <t>%</t>
    <phoneticPr fontId="2" type="noConversion"/>
  </si>
  <si>
    <t xml:space="preserve"> </t>
    <phoneticPr fontId="2" type="noConversion"/>
  </si>
  <si>
    <t>퇴직적립금</t>
    <phoneticPr fontId="2" type="noConversion"/>
  </si>
  <si>
    <t>직책보조비</t>
    <phoneticPr fontId="2" type="noConversion"/>
  </si>
  <si>
    <t>회의비</t>
    <phoneticPr fontId="2" type="noConversion"/>
  </si>
  <si>
    <t>자산취득비</t>
    <phoneticPr fontId="2" type="noConversion"/>
  </si>
  <si>
    <t>사 업 비</t>
    <phoneticPr fontId="2" type="noConversion"/>
  </si>
  <si>
    <t>예비비 및 기타</t>
    <phoneticPr fontId="2" type="noConversion"/>
  </si>
  <si>
    <t>반환금(보)</t>
    <phoneticPr fontId="2" type="noConversion"/>
  </si>
  <si>
    <t>총      계</t>
    <phoneticPr fontId="2" type="noConversion"/>
  </si>
  <si>
    <t>보  조  금</t>
    <phoneticPr fontId="2" type="noConversion"/>
  </si>
  <si>
    <t>자  부  담</t>
    <phoneticPr fontId="2" type="noConversion"/>
  </si>
  <si>
    <t>보조금</t>
    <phoneticPr fontId="2" type="noConversion"/>
  </si>
  <si>
    <t>전 입 금</t>
    <phoneticPr fontId="2" type="noConversion"/>
  </si>
  <si>
    <t>시설장비유지비</t>
    <phoneticPr fontId="2" type="noConversion"/>
  </si>
  <si>
    <t>사업수입</t>
    <phoneticPr fontId="2" type="noConversion"/>
  </si>
  <si>
    <t>잡지출</t>
    <phoneticPr fontId="2" type="noConversion"/>
  </si>
  <si>
    <t>직원교육비</t>
    <phoneticPr fontId="2" type="noConversion"/>
  </si>
  <si>
    <t>기타운영비</t>
    <phoneticPr fontId="2" type="noConversion"/>
  </si>
  <si>
    <t>&lt;잡수입&gt;</t>
    <phoneticPr fontId="2" type="noConversion"/>
  </si>
  <si>
    <t>잡수입</t>
    <phoneticPr fontId="2" type="noConversion"/>
  </si>
  <si>
    <t>산  출  내  역</t>
    <phoneticPr fontId="2" type="noConversion"/>
  </si>
  <si>
    <t>%</t>
    <phoneticPr fontId="2" type="noConversion"/>
  </si>
  <si>
    <t>총     계</t>
    <phoneticPr fontId="2" type="noConversion"/>
  </si>
  <si>
    <t>보  조  금</t>
    <phoneticPr fontId="2" type="noConversion"/>
  </si>
  <si>
    <t>자  부  담</t>
    <phoneticPr fontId="2" type="noConversion"/>
  </si>
  <si>
    <t>후  원  금</t>
    <phoneticPr fontId="2" type="noConversion"/>
  </si>
  <si>
    <t>소  계</t>
    <phoneticPr fontId="2" type="noConversion"/>
  </si>
  <si>
    <t>보조금</t>
    <phoneticPr fontId="2" type="noConversion"/>
  </si>
  <si>
    <t>계</t>
    <phoneticPr fontId="2" type="noConversion"/>
  </si>
  <si>
    <t>&lt;법인전입금&gt;</t>
    <phoneticPr fontId="2" type="noConversion"/>
  </si>
  <si>
    <t>사업수입</t>
    <phoneticPr fontId="2" type="noConversion"/>
  </si>
  <si>
    <t>사 업 수 입</t>
    <phoneticPr fontId="2" type="noConversion"/>
  </si>
  <si>
    <t>1. 이자수입(보조금)</t>
    <phoneticPr fontId="2" type="noConversion"/>
  </si>
  <si>
    <t>이월금</t>
    <phoneticPr fontId="2" type="noConversion"/>
  </si>
  <si>
    <t>사 무 비</t>
    <phoneticPr fontId="2" type="noConversion"/>
  </si>
  <si>
    <t>기본급</t>
    <phoneticPr fontId="2" type="noConversion"/>
  </si>
  <si>
    <t>업무추진비</t>
    <phoneticPr fontId="2" type="noConversion"/>
  </si>
  <si>
    <t>기관운영비</t>
    <phoneticPr fontId="2" type="noConversion"/>
  </si>
  <si>
    <t>운  영  비</t>
    <phoneticPr fontId="2" type="noConversion"/>
  </si>
  <si>
    <t>사  업  비</t>
    <phoneticPr fontId="2" type="noConversion"/>
  </si>
  <si>
    <t>이  월  금</t>
    <phoneticPr fontId="2" type="noConversion"/>
  </si>
  <si>
    <t>1. 법인전입금(지정후원금)</t>
    <phoneticPr fontId="2" type="noConversion"/>
  </si>
  <si>
    <t>&lt;사업수입&gt;</t>
    <phoneticPr fontId="2" type="noConversion"/>
  </si>
  <si>
    <t>잡지출(자)</t>
    <phoneticPr fontId="2" type="noConversion"/>
  </si>
  <si>
    <t>가. 총괄내역</t>
    <phoneticPr fontId="2" type="noConversion"/>
  </si>
  <si>
    <t>잡 수 입</t>
    <phoneticPr fontId="2" type="noConversion"/>
  </si>
  <si>
    <t>단위 : 원</t>
    <phoneticPr fontId="2" type="noConversion"/>
  </si>
  <si>
    <t>기타예금이자수입(보조금)</t>
    <phoneticPr fontId="2" type="noConversion"/>
  </si>
  <si>
    <t>여비</t>
    <phoneticPr fontId="2" type="noConversion"/>
  </si>
  <si>
    <t>제  수  당</t>
    <phoneticPr fontId="2" type="noConversion"/>
  </si>
  <si>
    <t>사회보험부담금</t>
    <phoneticPr fontId="2" type="noConversion"/>
  </si>
  <si>
    <t>기타후생경비</t>
    <phoneticPr fontId="2" type="noConversion"/>
  </si>
  <si>
    <t>복지포인트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</si>
  <si>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</si>
  <si>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</si>
  <si>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</si>
  <si>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재산조성비</t>
    <phoneticPr fontId="2" type="noConversion"/>
  </si>
  <si>
    <t>시 설 비</t>
    <phoneticPr fontId="2" type="noConversion"/>
  </si>
  <si>
    <t>시설비</t>
    <phoneticPr fontId="2" type="noConversion"/>
  </si>
  <si>
    <t>세  입</t>
    <phoneticPr fontId="2" type="noConversion"/>
  </si>
  <si>
    <t>세  출</t>
    <phoneticPr fontId="2" type="noConversion"/>
  </si>
  <si>
    <t>인 건 비</t>
    <phoneticPr fontId="2" type="noConversion"/>
  </si>
  <si>
    <t>경상운영보조금(시)</t>
    <phoneticPr fontId="2" type="noConversion"/>
  </si>
  <si>
    <t>경상운영보조금(구)</t>
    <phoneticPr fontId="2" type="noConversion"/>
  </si>
  <si>
    <t>기능보강비</t>
    <phoneticPr fontId="2" type="noConversion"/>
  </si>
  <si>
    <t>법인전입금(지정)</t>
    <phoneticPr fontId="2" type="noConversion"/>
  </si>
  <si>
    <t>이용료수입</t>
    <phoneticPr fontId="2" type="noConversion"/>
  </si>
  <si>
    <t>1. 이용료 수입</t>
    <phoneticPr fontId="2" type="noConversion"/>
  </si>
  <si>
    <t>2. 식비(직원)</t>
    <phoneticPr fontId="2" type="noConversion"/>
  </si>
  <si>
    <t xml:space="preserve">   식비(이용자)</t>
    <phoneticPr fontId="2" type="noConversion"/>
  </si>
  <si>
    <t>3. 특별활동비</t>
    <phoneticPr fontId="2" type="noConversion"/>
  </si>
  <si>
    <t>&lt;보조금&gt;</t>
    <phoneticPr fontId="2" type="noConversion"/>
  </si>
  <si>
    <t>1. 경상운영보조금(시)</t>
    <phoneticPr fontId="2" type="noConversion"/>
  </si>
  <si>
    <t>2. 경상운영보조금(구)</t>
    <phoneticPr fontId="2" type="noConversion"/>
  </si>
  <si>
    <t>3. 기능보강비</t>
    <phoneticPr fontId="2" type="noConversion"/>
  </si>
  <si>
    <t>4. 복지포인트</t>
    <phoneticPr fontId="2" type="noConversion"/>
  </si>
  <si>
    <t>식비</t>
    <phoneticPr fontId="2" type="noConversion"/>
  </si>
  <si>
    <t>특별활동비</t>
    <phoneticPr fontId="2" type="noConversion"/>
  </si>
  <si>
    <t>전년도이월금</t>
    <phoneticPr fontId="2" type="noConversion"/>
  </si>
  <si>
    <t>명절휴가비</t>
  </si>
  <si>
    <t>(보)</t>
  </si>
  <si>
    <t>가족수당</t>
  </si>
  <si>
    <t>급식비</t>
  </si>
  <si>
    <t>연장근무수당</t>
  </si>
  <si>
    <t>필수과목</t>
    <phoneticPr fontId="2" type="noConversion"/>
  </si>
  <si>
    <t>선택과목</t>
    <phoneticPr fontId="2" type="noConversion"/>
  </si>
  <si>
    <t>특별활동</t>
    <phoneticPr fontId="2" type="noConversion"/>
  </si>
  <si>
    <t>급식지원사업</t>
    <phoneticPr fontId="2" type="noConversion"/>
  </si>
  <si>
    <t>가족지원사업</t>
    <phoneticPr fontId="2" type="noConversion"/>
  </si>
  <si>
    <t>자원개발사업</t>
    <phoneticPr fontId="2" type="noConversion"/>
  </si>
  <si>
    <t>교육연구</t>
    <phoneticPr fontId="2" type="noConversion"/>
  </si>
  <si>
    <t>세입-세출(차액)=&gt;세입과 세출이 동일하여 0으로 만들어야 함</t>
    <phoneticPr fontId="2" type="noConversion"/>
  </si>
  <si>
    <t>나. 세입내역(강서발달장애인평생교육센터)</t>
    <phoneticPr fontId="2" type="noConversion"/>
  </si>
  <si>
    <t>소  계</t>
    <phoneticPr fontId="2" type="noConversion"/>
  </si>
  <si>
    <t>소  계</t>
    <phoneticPr fontId="2" type="noConversion"/>
  </si>
  <si>
    <t>2020년
1차추경</t>
    <phoneticPr fontId="2" type="noConversion"/>
  </si>
  <si>
    <t>2020년
본예산</t>
    <phoneticPr fontId="2" type="noConversion"/>
  </si>
  <si>
    <t>2020년 강서발달장애인평생교육센터 추경예산서</t>
    <phoneticPr fontId="2" type="noConversion"/>
  </si>
  <si>
    <t>차량비</t>
    <phoneticPr fontId="2" type="noConversion"/>
  </si>
  <si>
    <t>다. 세출내역(강서발달장애인평생교육센터)</t>
    <phoneticPr fontId="2" type="noConversion"/>
  </si>
  <si>
    <t xml:space="preserve">  단위 : 원</t>
    <phoneticPr fontId="2" type="noConversion"/>
  </si>
  <si>
    <t>2020년
본예산</t>
    <phoneticPr fontId="2" type="noConversion"/>
  </si>
  <si>
    <t>2020년
1차추경</t>
    <phoneticPr fontId="2" type="noConversion"/>
  </si>
  <si>
    <t>산  출  내  역</t>
    <phoneticPr fontId="2" type="noConversion"/>
  </si>
  <si>
    <t>%</t>
    <phoneticPr fontId="2" type="noConversion"/>
  </si>
  <si>
    <t>총      계</t>
    <phoneticPr fontId="2" type="noConversion"/>
  </si>
  <si>
    <t>(총계)</t>
    <phoneticPr fontId="2" type="noConversion"/>
  </si>
  <si>
    <t>보  조  금</t>
    <phoneticPr fontId="2" type="noConversion"/>
  </si>
  <si>
    <t>(보)</t>
    <phoneticPr fontId="2" type="noConversion"/>
  </si>
  <si>
    <t>자  부  담</t>
    <phoneticPr fontId="2" type="noConversion"/>
  </si>
  <si>
    <t>(자)</t>
    <phoneticPr fontId="2" type="noConversion"/>
  </si>
  <si>
    <t>후  원  금</t>
    <phoneticPr fontId="2" type="noConversion"/>
  </si>
  <si>
    <t>(후)</t>
    <phoneticPr fontId="2" type="noConversion"/>
  </si>
  <si>
    <t>사 무 비</t>
    <phoneticPr fontId="2" type="noConversion"/>
  </si>
  <si>
    <t>인 건 비</t>
    <phoneticPr fontId="2" type="noConversion"/>
  </si>
  <si>
    <t>기본급</t>
    <phoneticPr fontId="2" type="noConversion"/>
  </si>
  <si>
    <t xml:space="preserve"> 1. 기본급</t>
    <phoneticPr fontId="2" type="noConversion"/>
  </si>
  <si>
    <t>보조금인력</t>
    <phoneticPr fontId="2" type="noConversion"/>
  </si>
  <si>
    <t>(보)</t>
    <phoneticPr fontId="2" type="noConversion"/>
  </si>
  <si>
    <t>제  수  당</t>
    <phoneticPr fontId="2" type="noConversion"/>
  </si>
  <si>
    <t xml:space="preserve">  2. 제수당</t>
    <phoneticPr fontId="2" type="noConversion"/>
  </si>
  <si>
    <t>월 기본급(11,965,000)*60%</t>
    <phoneticPr fontId="2" type="noConversion"/>
  </si>
  <si>
    <t>직계존속(20,000)*1명*3회</t>
    <phoneticPr fontId="2" type="noConversion"/>
  </si>
  <si>
    <t>(후)</t>
    <phoneticPr fontId="2" type="noConversion"/>
  </si>
  <si>
    <t>직계존속(40,000)*4명*5회</t>
    <phoneticPr fontId="2" type="noConversion"/>
  </si>
  <si>
    <t>100,000*9명*5회</t>
    <phoneticPr fontId="2" type="noConversion"/>
  </si>
  <si>
    <t>관리자수당</t>
    <phoneticPr fontId="2" type="noConversion"/>
  </si>
  <si>
    <t>200,000*1명*5회</t>
    <phoneticPr fontId="2" type="noConversion"/>
  </si>
  <si>
    <t>퇴직적립금</t>
    <phoneticPr fontId="2" type="noConversion"/>
  </si>
  <si>
    <t xml:space="preserve"> 3. 퇴직적립금</t>
    <phoneticPr fontId="2" type="noConversion"/>
  </si>
  <si>
    <t>96,817,560원 /12개월</t>
    <phoneticPr fontId="2" type="noConversion"/>
  </si>
  <si>
    <t>(자)</t>
    <phoneticPr fontId="2" type="noConversion"/>
  </si>
  <si>
    <t>(후)</t>
    <phoneticPr fontId="2" type="noConversion"/>
  </si>
  <si>
    <t>사회보험부담금</t>
    <phoneticPr fontId="2" type="noConversion"/>
  </si>
  <si>
    <t xml:space="preserve"> 4. 사회보험부담금</t>
    <phoneticPr fontId="2" type="noConversion"/>
  </si>
  <si>
    <t>건강보험</t>
    <phoneticPr fontId="2" type="noConversion"/>
  </si>
  <si>
    <t>94,190,858*3.335%</t>
    <phoneticPr fontId="2" type="noConversion"/>
  </si>
  <si>
    <t>(보)</t>
    <phoneticPr fontId="2" type="noConversion"/>
  </si>
  <si>
    <t>요양보험</t>
    <phoneticPr fontId="2" type="noConversion"/>
  </si>
  <si>
    <t>건강보험*10.25%</t>
    <phoneticPr fontId="2" type="noConversion"/>
  </si>
  <si>
    <t>국민연금</t>
    <phoneticPr fontId="2" type="noConversion"/>
  </si>
  <si>
    <t>94,190,858*×4.50%</t>
    <phoneticPr fontId="2" type="noConversion"/>
  </si>
  <si>
    <t xml:space="preserve"> </t>
    <phoneticPr fontId="2" type="noConversion"/>
  </si>
  <si>
    <t>산재보험</t>
    <phoneticPr fontId="2" type="noConversion"/>
  </si>
  <si>
    <t>94,190,858*×0.724%</t>
    <phoneticPr fontId="2" type="noConversion"/>
  </si>
  <si>
    <t>고용보험</t>
    <phoneticPr fontId="2" type="noConversion"/>
  </si>
  <si>
    <t>94,190,858*×1.05%</t>
    <phoneticPr fontId="2" type="noConversion"/>
  </si>
  <si>
    <t>기타후생경비</t>
    <phoneticPr fontId="2" type="noConversion"/>
  </si>
  <si>
    <t xml:space="preserve"> 5. 기타후생경비</t>
    <phoneticPr fontId="2" type="noConversion"/>
  </si>
  <si>
    <t>복지포인트</t>
    <phoneticPr fontId="2" type="noConversion"/>
  </si>
  <si>
    <t>((1명×137)+(11명×104))×1,000원</t>
    <phoneticPr fontId="2" type="noConversion"/>
  </si>
  <si>
    <t>(보)</t>
    <phoneticPr fontId="2" type="noConversion"/>
  </si>
  <si>
    <t>(자)</t>
    <phoneticPr fontId="2" type="noConversion"/>
  </si>
  <si>
    <t>(후)</t>
    <phoneticPr fontId="2" type="noConversion"/>
  </si>
  <si>
    <t>업무추진비</t>
    <phoneticPr fontId="2" type="noConversion"/>
  </si>
  <si>
    <t xml:space="preserve"> </t>
    <phoneticPr fontId="2" type="noConversion"/>
  </si>
  <si>
    <t>기관운영비</t>
    <phoneticPr fontId="2" type="noConversion"/>
  </si>
  <si>
    <t xml:space="preserve"> 1. 기관운영비</t>
    <phoneticPr fontId="2" type="noConversion"/>
  </si>
  <si>
    <t>운영위원 사례비</t>
    <phoneticPr fontId="2" type="noConversion"/>
  </si>
  <si>
    <t>70,000원*4명*1회</t>
    <phoneticPr fontId="2" type="noConversion"/>
  </si>
  <si>
    <t>팀운영비</t>
    <phoneticPr fontId="2" type="noConversion"/>
  </si>
  <si>
    <t>135,000원*3.5회</t>
    <phoneticPr fontId="2" type="noConversion"/>
  </si>
  <si>
    <t>종무식</t>
    <phoneticPr fontId="2" type="noConversion"/>
  </si>
  <si>
    <t>17,500원*9명*1회</t>
    <phoneticPr fontId="2" type="noConversion"/>
  </si>
  <si>
    <t>자문위원 사례비</t>
    <phoneticPr fontId="2" type="noConversion"/>
  </si>
  <si>
    <t>70,000원*4회</t>
    <phoneticPr fontId="2" type="noConversion"/>
  </si>
  <si>
    <t>직책보조비</t>
    <phoneticPr fontId="2" type="noConversion"/>
  </si>
  <si>
    <t xml:space="preserve"> 2. 직책보조비</t>
    <phoneticPr fontId="2" type="noConversion"/>
  </si>
  <si>
    <t>외부손님 다과비</t>
    <phoneticPr fontId="2" type="noConversion"/>
  </si>
  <si>
    <t>50,000원*2회</t>
    <phoneticPr fontId="2" type="noConversion"/>
  </si>
  <si>
    <t>(자)</t>
    <phoneticPr fontId="2" type="noConversion"/>
  </si>
  <si>
    <t>직무수행 소요비</t>
    <phoneticPr fontId="2" type="noConversion"/>
  </si>
  <si>
    <t>48,000원*1회</t>
    <phoneticPr fontId="13" type="noConversion"/>
  </si>
  <si>
    <t>인사위원회 식사비</t>
    <phoneticPr fontId="13" type="noConversion"/>
  </si>
  <si>
    <t>직책보조비(신입직원)</t>
    <phoneticPr fontId="13" type="noConversion"/>
  </si>
  <si>
    <t>회의비</t>
    <phoneticPr fontId="2" type="noConversion"/>
  </si>
  <si>
    <t xml:space="preserve"> 3. 회의비</t>
    <phoneticPr fontId="2" type="noConversion"/>
  </si>
  <si>
    <t>운영위원회(다과)</t>
    <phoneticPr fontId="2" type="noConversion"/>
  </si>
  <si>
    <t>21,000원*1회</t>
    <phoneticPr fontId="2" type="noConversion"/>
  </si>
  <si>
    <t>운영위원회(식사)</t>
    <phoneticPr fontId="2" type="noConversion"/>
  </si>
  <si>
    <t>66,000원*1회</t>
    <phoneticPr fontId="2" type="noConversion"/>
  </si>
  <si>
    <t>자문위원회(다과)</t>
    <phoneticPr fontId="2" type="noConversion"/>
  </si>
  <si>
    <t>자문위원회(식사)</t>
    <phoneticPr fontId="2" type="noConversion"/>
  </si>
  <si>
    <t>15,000원*7명</t>
    <phoneticPr fontId="2" type="noConversion"/>
  </si>
  <si>
    <t>운  영  비</t>
    <phoneticPr fontId="2" type="noConversion"/>
  </si>
  <si>
    <t>수용비 및 수수료</t>
    <phoneticPr fontId="2" type="noConversion"/>
  </si>
  <si>
    <t xml:space="preserve"> 1. 수용비/수수료</t>
    <phoneticPr fontId="2" type="noConversion"/>
  </si>
  <si>
    <t>외주관리비(보안)</t>
    <phoneticPr fontId="2" type="noConversion"/>
  </si>
  <si>
    <t>88,000원*1월</t>
    <phoneticPr fontId="2" type="noConversion"/>
  </si>
  <si>
    <t>센터 현판 제작(레이저 및 실물 현판)</t>
    <phoneticPr fontId="2" type="noConversion"/>
  </si>
  <si>
    <t>1,500,000원*1회</t>
    <phoneticPr fontId="2" type="noConversion"/>
  </si>
  <si>
    <t>사무용품비</t>
    <phoneticPr fontId="2" type="noConversion"/>
  </si>
  <si>
    <t>1,000,000원*5월</t>
    <phoneticPr fontId="2" type="noConversion"/>
  </si>
  <si>
    <t>소모품구입비</t>
    <phoneticPr fontId="2" type="noConversion"/>
  </si>
  <si>
    <t>시설관리용 물품구입</t>
    <phoneticPr fontId="2" type="noConversion"/>
  </si>
  <si>
    <t>200,000원*5월</t>
    <phoneticPr fontId="2" type="noConversion"/>
  </si>
  <si>
    <t>운송비(주차,통행)</t>
    <phoneticPr fontId="2" type="noConversion"/>
  </si>
  <si>
    <t>300,000원*1월</t>
    <phoneticPr fontId="2" type="noConversion"/>
  </si>
  <si>
    <t>직원 도장 제작</t>
    <phoneticPr fontId="2" type="noConversion"/>
  </si>
  <si>
    <t>10,000*12명</t>
    <phoneticPr fontId="2" type="noConversion"/>
  </si>
  <si>
    <t>집기류 구입</t>
    <phoneticPr fontId="13" type="noConversion"/>
  </si>
  <si>
    <t>네트워크 공사/설치비</t>
    <phoneticPr fontId="2" type="noConversion"/>
  </si>
  <si>
    <t>기타 수용비 및 수수료</t>
    <phoneticPr fontId="2" type="noConversion"/>
  </si>
  <si>
    <t>방역물품 구입</t>
    <phoneticPr fontId="2" type="noConversion"/>
  </si>
  <si>
    <t>1,539,000*1회</t>
    <phoneticPr fontId="2" type="noConversion"/>
  </si>
  <si>
    <t>직원명함</t>
    <phoneticPr fontId="13" type="noConversion"/>
  </si>
  <si>
    <t>나라장터 조달청 수수료</t>
    <phoneticPr fontId="13" type="noConversion"/>
  </si>
  <si>
    <t>공공요금</t>
    <phoneticPr fontId="2" type="noConversion"/>
  </si>
  <si>
    <t xml:space="preserve"> 2. 공공요금</t>
    <phoneticPr fontId="2" type="noConversion"/>
  </si>
  <si>
    <t>전화(팩스)/인터넷</t>
    <phoneticPr fontId="2" type="noConversion"/>
  </si>
  <si>
    <t>150,000원*1월</t>
    <phoneticPr fontId="2" type="noConversion"/>
  </si>
  <si>
    <t>전기요금</t>
    <phoneticPr fontId="2" type="noConversion"/>
  </si>
  <si>
    <t>400,000원*1월</t>
    <phoneticPr fontId="2" type="noConversion"/>
  </si>
  <si>
    <t>상하수도요금</t>
    <phoneticPr fontId="2" type="noConversion"/>
  </si>
  <si>
    <t>200,000원*1월</t>
    <phoneticPr fontId="2" type="noConversion"/>
  </si>
  <si>
    <t>우편요금</t>
    <phoneticPr fontId="2" type="noConversion"/>
  </si>
  <si>
    <t>54,900원*2월</t>
    <phoneticPr fontId="2" type="noConversion"/>
  </si>
  <si>
    <t>제세공과금</t>
    <phoneticPr fontId="2" type="noConversion"/>
  </si>
  <si>
    <t xml:space="preserve"> 3. 제세공과금</t>
    <phoneticPr fontId="2" type="noConversion"/>
  </si>
  <si>
    <t>영업배상</t>
    <phoneticPr fontId="2" type="noConversion"/>
  </si>
  <si>
    <t>100,000원*1회</t>
    <phoneticPr fontId="2" type="noConversion"/>
  </si>
  <si>
    <t>보</t>
    <phoneticPr fontId="2" type="noConversion"/>
  </si>
  <si>
    <t>화재보험/승강기</t>
    <phoneticPr fontId="2" type="noConversion"/>
  </si>
  <si>
    <t>200,000원*1회</t>
    <phoneticPr fontId="2" type="noConversion"/>
  </si>
  <si>
    <t>자</t>
    <phoneticPr fontId="2" type="noConversion"/>
  </si>
  <si>
    <t>신원보증보험</t>
    <phoneticPr fontId="2" type="noConversion"/>
  </si>
  <si>
    <t>25,000원*2명*1회</t>
    <phoneticPr fontId="2" type="noConversion"/>
  </si>
  <si>
    <t>후</t>
    <phoneticPr fontId="2" type="noConversion"/>
  </si>
  <si>
    <t>상해보험</t>
    <phoneticPr fontId="2" type="noConversion"/>
  </si>
  <si>
    <t>20.000원*12명*1회</t>
    <phoneticPr fontId="2" type="noConversion"/>
  </si>
  <si>
    <t>차량보험료</t>
    <phoneticPr fontId="2" type="noConversion"/>
  </si>
  <si>
    <t>차량비</t>
    <phoneticPr fontId="2" type="noConversion"/>
  </si>
  <si>
    <t xml:space="preserve"> 4. 차량비</t>
    <phoneticPr fontId="13" type="noConversion"/>
  </si>
  <si>
    <t>센터차량 주유비</t>
    <phoneticPr fontId="2" type="noConversion"/>
  </si>
  <si>
    <t>100,000원*3회*1월</t>
    <phoneticPr fontId="2" type="noConversion"/>
  </si>
  <si>
    <t>센터차랑 소모품 구입</t>
    <phoneticPr fontId="2" type="noConversion"/>
  </si>
  <si>
    <t>여비</t>
    <phoneticPr fontId="2" type="noConversion"/>
  </si>
  <si>
    <t xml:space="preserve"> 6. 출장여비</t>
    <phoneticPr fontId="2" type="noConversion"/>
  </si>
  <si>
    <t>출장교통비</t>
    <phoneticPr fontId="2" type="noConversion"/>
  </si>
  <si>
    <t>100,000원</t>
    <phoneticPr fontId="2" type="noConversion"/>
  </si>
  <si>
    <t>출장식비 등</t>
    <phoneticPr fontId="2" type="noConversion"/>
  </si>
  <si>
    <t>8,000*2회*2명</t>
    <phoneticPr fontId="2" type="noConversion"/>
  </si>
  <si>
    <t>교통카드 충전비</t>
    <phoneticPr fontId="2" type="noConversion"/>
  </si>
  <si>
    <t>100,000원*5개*1회</t>
    <phoneticPr fontId="2" type="noConversion"/>
  </si>
  <si>
    <t>기타운영비</t>
    <phoneticPr fontId="2" type="noConversion"/>
  </si>
  <si>
    <t xml:space="preserve"> 7. 기타운영비</t>
    <phoneticPr fontId="2" type="noConversion"/>
  </si>
  <si>
    <t>직원 야근식대</t>
    <phoneticPr fontId="2" type="noConversion"/>
  </si>
  <si>
    <t>8,000원*9명*8회*1.5월</t>
    <phoneticPr fontId="2" type="noConversion"/>
  </si>
  <si>
    <t>재산조성비</t>
    <phoneticPr fontId="2" type="noConversion"/>
  </si>
  <si>
    <t>시 설 비</t>
    <phoneticPr fontId="2" type="noConversion"/>
  </si>
  <si>
    <t>시설비</t>
    <phoneticPr fontId="2" type="noConversion"/>
  </si>
  <si>
    <r>
      <t>환경개선공사</t>
    </r>
    <r>
      <rPr>
        <sz val="8"/>
        <color rgb="FF00B050"/>
        <rFont val="맑은 고딕"/>
        <family val="3"/>
        <charset val="129"/>
        <scheme val="minor"/>
      </rPr>
      <t>(9천여만원 1월로 사고이월 예정)</t>
    </r>
    <phoneticPr fontId="2" type="noConversion"/>
  </si>
  <si>
    <t>설계비(완)</t>
    <phoneticPr fontId="2" type="noConversion"/>
  </si>
  <si>
    <t>감리비(완)</t>
    <phoneticPr fontId="2" type="noConversion"/>
  </si>
  <si>
    <t>칸막이공사(진우건설)</t>
    <phoneticPr fontId="2" type="noConversion"/>
  </si>
  <si>
    <t>시설장비유지비</t>
    <phoneticPr fontId="2" type="noConversion"/>
  </si>
  <si>
    <t xml:space="preserve"> 시설장비유지</t>
    <phoneticPr fontId="2" type="noConversion"/>
  </si>
  <si>
    <t>자산취득비</t>
    <phoneticPr fontId="2" type="noConversion"/>
  </si>
  <si>
    <t xml:space="preserve"> 자산취득비</t>
    <phoneticPr fontId="2" type="noConversion"/>
  </si>
  <si>
    <t>TV모니터(42인치)</t>
    <phoneticPr fontId="2" type="noConversion"/>
  </si>
  <si>
    <t>811,240원*5개</t>
    <phoneticPr fontId="2" type="noConversion"/>
  </si>
  <si>
    <t>교육실 맞춤장(서랍장,사물함)</t>
    <phoneticPr fontId="2" type="noConversion"/>
  </si>
  <si>
    <t>(기)</t>
    <phoneticPr fontId="13" type="noConversion"/>
  </si>
  <si>
    <t>1,500,000원*5개</t>
    <phoneticPr fontId="2" type="noConversion"/>
  </si>
  <si>
    <t>교육실용 책상/의자</t>
    <phoneticPr fontId="2" type="noConversion"/>
  </si>
  <si>
    <t>150,000원*30개</t>
    <phoneticPr fontId="2" type="noConversion"/>
  </si>
  <si>
    <t>(법후)</t>
    <phoneticPr fontId="2" type="noConversion"/>
  </si>
  <si>
    <t>(후)</t>
    <phoneticPr fontId="13" type="noConversion"/>
  </si>
  <si>
    <t>나스서버구축</t>
    <phoneticPr fontId="2" type="noConversion"/>
  </si>
  <si>
    <t>냉장고</t>
    <phoneticPr fontId="2" type="noConversion"/>
  </si>
  <si>
    <t>1,200,000원*1대</t>
    <phoneticPr fontId="13" type="noConversion"/>
  </si>
  <si>
    <t>노래방기계(모니터_기계+무선마이크등)</t>
    <phoneticPr fontId="2" type="noConversion"/>
  </si>
  <si>
    <t>1,033,000*1세트</t>
    <phoneticPr fontId="2" type="noConversion"/>
  </si>
  <si>
    <t>교실용 노트북(소프트웨어 포함)</t>
    <phoneticPr fontId="2" type="noConversion"/>
  </si>
  <si>
    <t>1,700,000원*5개</t>
    <phoneticPr fontId="2" type="noConversion"/>
  </si>
  <si>
    <t>뇌병변 교실 쇼파배드</t>
    <phoneticPr fontId="2" type="noConversion"/>
  </si>
  <si>
    <t>150,000원*6개</t>
    <phoneticPr fontId="2" type="noConversion"/>
  </si>
  <si>
    <t>뇌병변 멀티책상</t>
    <phoneticPr fontId="2" type="noConversion"/>
  </si>
  <si>
    <t>700,000*6개</t>
    <phoneticPr fontId="2" type="noConversion"/>
  </si>
  <si>
    <t>다목적실용 비품(의자, 강연대 등)</t>
    <phoneticPr fontId="2" type="noConversion"/>
  </si>
  <si>
    <t>빔프로젝트(이동형)+스크린</t>
    <phoneticPr fontId="2" type="noConversion"/>
  </si>
  <si>
    <t>사무실/대기실/교실 조명설치 및 인테리어</t>
    <phoneticPr fontId="13" type="noConversion"/>
  </si>
  <si>
    <t>사무용책상/의자/집기</t>
    <phoneticPr fontId="2" type="noConversion"/>
  </si>
  <si>
    <t>600,000원*15세트</t>
    <phoneticPr fontId="2" type="noConversion"/>
  </si>
  <si>
    <t>선풍기(날개없음)</t>
    <phoneticPr fontId="2" type="noConversion"/>
  </si>
  <si>
    <t>385,920*7대</t>
    <phoneticPr fontId="2" type="noConversion"/>
  </si>
  <si>
    <t>센터차량 구입</t>
    <phoneticPr fontId="2" type="noConversion"/>
  </si>
  <si>
    <t>소방설비</t>
    <phoneticPr fontId="2" type="noConversion"/>
  </si>
  <si>
    <t>소프트웨어(MS오피스, 한글)</t>
    <phoneticPr fontId="2" type="noConversion"/>
  </si>
  <si>
    <t>시건 및 안전장치(CCTV, 소화기)</t>
    <phoneticPr fontId="2" type="noConversion"/>
  </si>
  <si>
    <t>식기살균기, 안전살균기</t>
    <phoneticPr fontId="2" type="noConversion"/>
  </si>
  <si>
    <t>276,800원+528,000원</t>
    <phoneticPr fontId="13" type="noConversion"/>
  </si>
  <si>
    <t>심리안정실(바닥/벽 매트)</t>
    <phoneticPr fontId="2" type="noConversion"/>
  </si>
  <si>
    <t>3,500,000원*5세트</t>
    <phoneticPr fontId="2" type="noConversion"/>
  </si>
  <si>
    <t>썬팅,파티션,블라인드 등</t>
    <phoneticPr fontId="2" type="noConversion"/>
  </si>
  <si>
    <t>아이패드</t>
    <phoneticPr fontId="2" type="noConversion"/>
  </si>
  <si>
    <t>470,300원*6개</t>
    <phoneticPr fontId="2" type="noConversion"/>
  </si>
  <si>
    <t>열화상카메라</t>
    <phoneticPr fontId="2" type="noConversion"/>
  </si>
  <si>
    <t>2,000,000원*1대</t>
    <phoneticPr fontId="2" type="noConversion"/>
  </si>
  <si>
    <t>워킹머신</t>
    <phoneticPr fontId="2" type="noConversion"/>
  </si>
  <si>
    <t>693,000원*2</t>
    <phoneticPr fontId="2" type="noConversion"/>
  </si>
  <si>
    <t>음향 장비 구입 및 설치</t>
    <phoneticPr fontId="2" type="noConversion"/>
  </si>
  <si>
    <t>(기)</t>
    <phoneticPr fontId="13" type="noConversion"/>
  </si>
  <si>
    <t>의료용 침대</t>
    <phoneticPr fontId="2" type="noConversion"/>
  </si>
  <si>
    <t>600,000*2개</t>
    <phoneticPr fontId="2" type="noConversion"/>
  </si>
  <si>
    <t>방수침대</t>
    <phoneticPr fontId="13" type="noConversion"/>
  </si>
  <si>
    <t>전자기기(디지털카메라 등)</t>
    <phoneticPr fontId="2" type="noConversion"/>
  </si>
  <si>
    <t>804,000*3대</t>
    <phoneticPr fontId="2" type="noConversion"/>
  </si>
  <si>
    <t>스탠드냉난방기</t>
    <phoneticPr fontId="13" type="noConversion"/>
  </si>
  <si>
    <t>교실 강의대</t>
    <phoneticPr fontId="2" type="noConversion"/>
  </si>
  <si>
    <t>882000*5대</t>
    <phoneticPr fontId="13" type="noConversion"/>
  </si>
  <si>
    <t>진공청소기</t>
    <phoneticPr fontId="2" type="noConversion"/>
  </si>
  <si>
    <t>(기)</t>
    <phoneticPr fontId="13" type="noConversion"/>
  </si>
  <si>
    <t>200,000원*7개</t>
    <phoneticPr fontId="2" type="noConversion"/>
  </si>
  <si>
    <t>촉각판(심리안정실)</t>
    <phoneticPr fontId="2" type="noConversion"/>
  </si>
  <si>
    <t>컴퓨터 모니터 및 본체, 노트북(완)</t>
    <phoneticPr fontId="2" type="noConversion"/>
  </si>
  <si>
    <t>튜브스윙</t>
    <phoneticPr fontId="2" type="noConversion"/>
  </si>
  <si>
    <t>파쇄기</t>
    <phoneticPr fontId="2" type="noConversion"/>
  </si>
  <si>
    <t>폴딩매트</t>
    <phoneticPr fontId="2" type="noConversion"/>
  </si>
  <si>
    <t>272,000*6개</t>
    <phoneticPr fontId="2" type="noConversion"/>
  </si>
  <si>
    <t>프린터</t>
    <phoneticPr fontId="2" type="noConversion"/>
  </si>
  <si>
    <t>500,000원*3개</t>
    <phoneticPr fontId="2" type="noConversion"/>
  </si>
  <si>
    <t>헬스사이클 3대, 인바디측정기</t>
    <phoneticPr fontId="2" type="noConversion"/>
  </si>
  <si>
    <t>1,100,000원*3대+2,860,000원</t>
    <phoneticPr fontId="2" type="noConversion"/>
  </si>
  <si>
    <t>화이트보드 제작설치</t>
    <phoneticPr fontId="13" type="noConversion"/>
  </si>
  <si>
    <t>(기)</t>
    <phoneticPr fontId="13" type="noConversion"/>
  </si>
  <si>
    <t>환경미화 물품(화분 등)</t>
    <phoneticPr fontId="2" type="noConversion"/>
  </si>
  <si>
    <t>휴게공간 가구(쇼파, 테이블 등)</t>
    <phoneticPr fontId="2" type="noConversion"/>
  </si>
  <si>
    <t>(기)</t>
    <phoneticPr fontId="13" type="noConversion"/>
  </si>
  <si>
    <t>1,500,000*3세트</t>
    <phoneticPr fontId="2" type="noConversion"/>
  </si>
  <si>
    <t>사  업  비</t>
    <phoneticPr fontId="2" type="noConversion"/>
  </si>
  <si>
    <t>사 업 비</t>
    <phoneticPr fontId="2" type="noConversion"/>
  </si>
  <si>
    <t xml:space="preserve"> </t>
    <phoneticPr fontId="2" type="noConversion"/>
  </si>
  <si>
    <t>(보)</t>
    <phoneticPr fontId="2" type="noConversion"/>
  </si>
  <si>
    <t>(자)</t>
    <phoneticPr fontId="2" type="noConversion"/>
  </si>
  <si>
    <t>필수과목</t>
    <phoneticPr fontId="2" type="noConversion"/>
  </si>
  <si>
    <t>필수과목</t>
    <phoneticPr fontId="2" type="noConversion"/>
  </si>
  <si>
    <t>건강관리 교구 구입</t>
    <phoneticPr fontId="2" type="noConversion"/>
  </si>
  <si>
    <t>(보)</t>
    <phoneticPr fontId="2" type="noConversion"/>
  </si>
  <si>
    <t>(보)</t>
    <phoneticPr fontId="2" type="noConversion"/>
  </si>
  <si>
    <t>건강관리 교재 구입</t>
    <phoneticPr fontId="13" type="noConversion"/>
  </si>
  <si>
    <t>운동기구(싸이클, 인바디측정기) 구입</t>
    <phoneticPr fontId="13" type="noConversion"/>
  </si>
  <si>
    <t>긍정행동지원 교구 구입</t>
    <phoneticPr fontId="2" type="noConversion"/>
  </si>
  <si>
    <t>방문상담 진단키트 재료구입</t>
    <phoneticPr fontId="2" type="noConversion"/>
  </si>
  <si>
    <t>사회적응훈련 교재 및 교구 구입</t>
    <phoneticPr fontId="13" type="noConversion"/>
  </si>
  <si>
    <t>의사소통 교구 구입</t>
    <phoneticPr fontId="2" type="noConversion"/>
  </si>
  <si>
    <t>의사소통 교재 구입</t>
    <phoneticPr fontId="13" type="noConversion"/>
  </si>
  <si>
    <t>일상생활 교구 구입</t>
    <phoneticPr fontId="2" type="noConversion"/>
  </si>
  <si>
    <t>직업전환 교육 교구 구입</t>
    <phoneticPr fontId="2" type="noConversion"/>
  </si>
  <si>
    <t>선택과목</t>
    <phoneticPr fontId="2" type="noConversion"/>
  </si>
  <si>
    <t>난타북 구입</t>
    <phoneticPr fontId="2" type="noConversion"/>
  </si>
  <si>
    <t>100,000원*10개</t>
    <phoneticPr fontId="2" type="noConversion"/>
  </si>
  <si>
    <t>(지원사업제외)</t>
    <phoneticPr fontId="2" type="noConversion"/>
  </si>
  <si>
    <t>동아리활동 재료 구입(금액확인)</t>
    <phoneticPr fontId="2" type="noConversion"/>
  </si>
  <si>
    <t xml:space="preserve">여가활동(점핑하이 기구) </t>
    <phoneticPr fontId="13" type="noConversion"/>
  </si>
  <si>
    <t>96,000원*8개</t>
    <phoneticPr fontId="13" type="noConversion"/>
  </si>
  <si>
    <t xml:space="preserve"> 취미여가(미술) 교구구입</t>
    <phoneticPr fontId="13" type="noConversion"/>
  </si>
  <si>
    <t xml:space="preserve"> 취미여가(음악) 교구구입</t>
    <phoneticPr fontId="13" type="noConversion"/>
  </si>
  <si>
    <t>특별활동</t>
    <phoneticPr fontId="2" type="noConversion"/>
  </si>
  <si>
    <t>(지원사업)</t>
    <phoneticPr fontId="2" type="noConversion"/>
  </si>
  <si>
    <t>급식지원사업</t>
    <phoneticPr fontId="2" type="noConversion"/>
  </si>
  <si>
    <t xml:space="preserve"> 주방 부자재 구입(주방용품, 집기, 냄비 등)</t>
    <phoneticPr fontId="13" type="noConversion"/>
  </si>
  <si>
    <t>주방기구(인덕션, 오븐, 작업대, 커피포트 등)</t>
    <phoneticPr fontId="13" type="noConversion"/>
  </si>
  <si>
    <t>가족지원사업</t>
    <phoneticPr fontId="2" type="noConversion"/>
  </si>
  <si>
    <t>자원개발사업</t>
    <phoneticPr fontId="2" type="noConversion"/>
  </si>
  <si>
    <t>개소식 진행물품 제작(기념품)</t>
    <phoneticPr fontId="2" type="noConversion"/>
  </si>
  <si>
    <t>3,225,000원*1회</t>
    <phoneticPr fontId="2" type="noConversion"/>
  </si>
  <si>
    <t>교육연구</t>
    <phoneticPr fontId="2" type="noConversion"/>
  </si>
  <si>
    <t>긍정행동지원사업연구</t>
    <phoneticPr fontId="2" type="noConversion"/>
  </si>
  <si>
    <t>360,000원*5</t>
    <phoneticPr fontId="2" type="noConversion"/>
  </si>
  <si>
    <t>직원교육비</t>
    <phoneticPr fontId="2" type="noConversion"/>
  </si>
  <si>
    <t>직원교육비(강사비)</t>
    <phoneticPr fontId="2" type="noConversion"/>
  </si>
  <si>
    <t>360,000원*2회</t>
    <phoneticPr fontId="2" type="noConversion"/>
  </si>
  <si>
    <t>직원교육비(다과비)</t>
    <phoneticPr fontId="2" type="noConversion"/>
  </si>
  <si>
    <t>41,915원*2회</t>
    <phoneticPr fontId="2" type="noConversion"/>
  </si>
  <si>
    <t>종사자 스터디 교재구입</t>
    <phoneticPr fontId="2" type="noConversion"/>
  </si>
  <si>
    <t>500,000원*1회</t>
    <phoneticPr fontId="2" type="noConversion"/>
  </si>
  <si>
    <t>사회복지사 보수교육비</t>
    <phoneticPr fontId="2" type="noConversion"/>
  </si>
  <si>
    <t>예비비 및 기타</t>
    <phoneticPr fontId="2" type="noConversion"/>
  </si>
  <si>
    <t>반환금(보)</t>
    <phoneticPr fontId="2" type="noConversion"/>
  </si>
  <si>
    <t>보조금 반환금</t>
    <phoneticPr fontId="2" type="noConversion"/>
  </si>
  <si>
    <t>보조금 및 이자포함 반환금</t>
    <phoneticPr fontId="2" type="noConversion"/>
  </si>
  <si>
    <t>복지포인트 반환금</t>
    <phoneticPr fontId="2" type="noConversion"/>
  </si>
  <si>
    <t>예비비</t>
    <phoneticPr fontId="2" type="noConversion"/>
  </si>
  <si>
    <t>잡지출</t>
    <phoneticPr fontId="2" type="noConversion"/>
  </si>
  <si>
    <t>잡지출(자)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</si>
</sst>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-* #,##0_-;\-* #,##0_-;_-* &quot;-&quot;??_-;_-@_-"/>
    <numFmt numFmtId="177" formatCode="#,##0_ "/>
    <numFmt numFmtId="178" formatCode="#,##0,"/>
    <numFmt numFmtId="179" formatCode="#,##0_);[Red]\(#,##0\)"/>
    <numFmt numFmtId="180" formatCode="_-* #,##0.0_-;\-* #,##0.0_-;_-* &quot;-&quot;_-;_-@_-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B05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theme="9" tint="-0.249977111117893"/>
      </bottom>
      <diagonal/>
    </border>
    <border>
      <left/>
      <right/>
      <top style="hair">
        <color theme="9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theme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double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theme="1"/>
      </left>
      <right style="hair">
        <color indexed="64"/>
      </right>
      <top style="thin">
        <color theme="1"/>
      </top>
      <bottom/>
      <diagonal/>
    </border>
    <border>
      <left style="hair">
        <color indexed="64"/>
      </left>
      <right style="hair">
        <color indexed="64"/>
      </right>
      <top style="thin">
        <color theme="1"/>
      </top>
      <bottom/>
      <diagonal/>
    </border>
    <border>
      <left style="hair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 style="thin">
        <color indexed="64"/>
      </top>
      <bottom/>
      <diagonal/>
    </border>
    <border>
      <left/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hair">
        <color indexed="64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theme="1"/>
      </bottom>
      <diagonal/>
    </border>
    <border>
      <left style="double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theme="1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911">
    <xf numFmtId="0" fontId="0" fillId="0" borderId="0" xfId="0"/>
    <xf numFmtId="41" fontId="3" fillId="0" borderId="0" xfId="3" applyNumberFormat="1" applyFont="1" applyAlignment="1">
      <alignment vertical="center"/>
    </xf>
    <xf numFmtId="0" fontId="6" fillId="0" borderId="42" xfId="0" applyNumberFormat="1" applyFont="1" applyBorder="1" applyAlignment="1">
      <alignment horizontal="left" vertical="center"/>
    </xf>
    <xf numFmtId="0" fontId="6" fillId="0" borderId="43" xfId="0" applyNumberFormat="1" applyFont="1" applyBorder="1" applyAlignment="1">
      <alignment horizontal="left" vertical="center"/>
    </xf>
    <xf numFmtId="41" fontId="5" fillId="0" borderId="8" xfId="3" applyNumberFormat="1" applyFont="1" applyFill="1" applyBorder="1" applyAlignment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0" fontId="6" fillId="0" borderId="12" xfId="3" applyNumberFormat="1" applyFont="1" applyBorder="1" applyAlignment="1">
      <alignment horizontal="left" vertical="center"/>
    </xf>
    <xf numFmtId="0" fontId="6" fillId="0" borderId="0" xfId="3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right" vertical="center"/>
    </xf>
    <xf numFmtId="41" fontId="6" fillId="0" borderId="44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0" fontId="6" fillId="0" borderId="45" xfId="0" applyNumberFormat="1" applyFont="1" applyBorder="1" applyAlignment="1">
      <alignment horizontal="left" vertical="center"/>
    </xf>
    <xf numFmtId="0" fontId="6" fillId="0" borderId="36" xfId="0" applyNumberFormat="1" applyFont="1" applyBorder="1" applyAlignment="1">
      <alignment horizontal="right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left" vertical="center"/>
    </xf>
    <xf numFmtId="41" fontId="5" fillId="0" borderId="8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right" vertical="center"/>
    </xf>
    <xf numFmtId="41" fontId="6" fillId="0" borderId="8" xfId="0" applyNumberFormat="1" applyFont="1" applyBorder="1" applyAlignment="1">
      <alignment horizontal="right" vertical="center"/>
    </xf>
    <xf numFmtId="0" fontId="6" fillId="0" borderId="6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1" xfId="3" applyNumberFormat="1" applyFont="1" applyBorder="1" applyAlignment="1">
      <alignment horizontal="center" vertical="center"/>
    </xf>
    <xf numFmtId="41" fontId="6" fillId="0" borderId="17" xfId="3" applyNumberFormat="1" applyFont="1" applyFill="1" applyBorder="1" applyAlignment="1">
      <alignment horizontal="right" vertical="center" shrinkToFit="1"/>
    </xf>
    <xf numFmtId="41" fontId="6" fillId="0" borderId="13" xfId="0" applyNumberFormat="1" applyFont="1" applyBorder="1" applyAlignment="1">
      <alignment horizontal="right" vertical="center"/>
    </xf>
    <xf numFmtId="0" fontId="6" fillId="0" borderId="12" xfId="3" applyNumberFormat="1" applyFont="1" applyBorder="1" applyAlignment="1">
      <alignment vertical="center"/>
    </xf>
    <xf numFmtId="0" fontId="6" fillId="0" borderId="0" xfId="3" applyNumberFormat="1" applyFont="1" applyBorder="1" applyAlignment="1">
      <alignment horizontal="center" vertical="center"/>
    </xf>
    <xf numFmtId="0" fontId="6" fillId="0" borderId="0" xfId="3" applyNumberFormat="1" applyFont="1" applyBorder="1" applyAlignment="1">
      <alignment horizontal="left" vertical="center" shrinkToFit="1"/>
    </xf>
    <xf numFmtId="0" fontId="5" fillId="0" borderId="14" xfId="0" applyNumberFormat="1" applyFont="1" applyBorder="1" applyAlignment="1">
      <alignment horizontal="left" vertical="center" shrinkToFit="1"/>
    </xf>
    <xf numFmtId="0" fontId="6" fillId="0" borderId="21" xfId="0" applyNumberFormat="1" applyFont="1" applyBorder="1" applyAlignment="1">
      <alignment horizontal="left" vertical="center"/>
    </xf>
    <xf numFmtId="41" fontId="5" fillId="0" borderId="22" xfId="3" applyNumberFormat="1" applyFont="1" applyFill="1" applyBorder="1" applyAlignment="1">
      <alignment horizontal="right" vertical="center" shrinkToFit="1"/>
    </xf>
    <xf numFmtId="41" fontId="5" fillId="0" borderId="21" xfId="3" applyNumberFormat="1" applyFont="1" applyFill="1" applyBorder="1" applyAlignment="1">
      <alignment horizontal="right" vertical="center" shrinkToFit="1"/>
    </xf>
    <xf numFmtId="41" fontId="6" fillId="0" borderId="22" xfId="0" applyNumberFormat="1" applyFont="1" applyBorder="1" applyAlignment="1">
      <alignment horizontal="right" vertical="center"/>
    </xf>
    <xf numFmtId="0" fontId="6" fillId="0" borderId="20" xfId="3" applyNumberFormat="1" applyFont="1" applyBorder="1" applyAlignment="1">
      <alignment horizontal="left" vertical="center"/>
    </xf>
    <xf numFmtId="41" fontId="6" fillId="0" borderId="13" xfId="0" applyNumberFormat="1" applyFont="1" applyFill="1" applyBorder="1" applyAlignment="1">
      <alignment horizontal="right" vertical="center" shrinkToFit="1"/>
    </xf>
    <xf numFmtId="176" fontId="6" fillId="0" borderId="17" xfId="3" applyNumberFormat="1" applyFont="1" applyFill="1" applyBorder="1" applyAlignment="1">
      <alignment horizontal="right" vertical="center" shrinkToFit="1"/>
    </xf>
    <xf numFmtId="0" fontId="6" fillId="0" borderId="24" xfId="0" applyNumberFormat="1" applyFont="1" applyBorder="1" applyAlignment="1">
      <alignment horizontal="right" vertical="center"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4" xfId="3" applyNumberFormat="1" applyFont="1" applyFill="1" applyBorder="1" applyAlignment="1">
      <alignment horizontal="right" vertical="center" shrinkToFit="1"/>
    </xf>
    <xf numFmtId="41" fontId="6" fillId="0" borderId="25" xfId="0" applyNumberFormat="1" applyFont="1" applyBorder="1" applyAlignment="1">
      <alignment horizontal="right" vertical="center"/>
    </xf>
    <xf numFmtId="0" fontId="6" fillId="0" borderId="27" xfId="3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41" fontId="5" fillId="0" borderId="13" xfId="0" applyNumberFormat="1" applyFont="1" applyFill="1" applyBorder="1" applyAlignment="1">
      <alignment horizontal="right" vertical="center" shrinkToFit="1"/>
    </xf>
    <xf numFmtId="41" fontId="5" fillId="0" borderId="17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>
      <alignment horizontal="right" vertical="center" wrapText="1"/>
    </xf>
    <xf numFmtId="41" fontId="5" fillId="0" borderId="13" xfId="0" applyNumberFormat="1" applyFont="1" applyFill="1" applyBorder="1" applyAlignment="1">
      <alignment horizontal="right" vertical="center"/>
    </xf>
    <xf numFmtId="0" fontId="6" fillId="0" borderId="45" xfId="0" applyNumberFormat="1" applyFont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right" vertical="center"/>
    </xf>
    <xf numFmtId="41" fontId="6" fillId="0" borderId="17" xfId="0" applyNumberFormat="1" applyFont="1" applyFill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right"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0" borderId="35" xfId="0" applyNumberFormat="1" applyFont="1" applyFill="1" applyBorder="1" applyAlignment="1">
      <alignment horizontal="right" vertical="center"/>
    </xf>
    <xf numFmtId="41" fontId="6" fillId="0" borderId="35" xfId="0" applyNumberFormat="1" applyFont="1" applyBorder="1" applyAlignment="1">
      <alignment horizontal="right" vertical="center"/>
    </xf>
    <xf numFmtId="0" fontId="6" fillId="0" borderId="33" xfId="3" applyNumberFormat="1" applyFont="1" applyBorder="1" applyAlignment="1">
      <alignment horizontal="left" vertical="center"/>
    </xf>
    <xf numFmtId="0" fontId="6" fillId="0" borderId="33" xfId="3" applyNumberFormat="1" applyFont="1" applyBorder="1" applyAlignment="1">
      <alignment horizontal="center" vertical="center"/>
    </xf>
    <xf numFmtId="0" fontId="6" fillId="0" borderId="33" xfId="3" applyNumberFormat="1" applyFont="1" applyBorder="1" applyAlignment="1">
      <alignment horizontal="right" vertical="center" wrapText="1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right" vertical="center"/>
    </xf>
    <xf numFmtId="41" fontId="5" fillId="0" borderId="8" xfId="0" applyNumberFormat="1" applyFont="1" applyFill="1" applyBorder="1" applyAlignment="1">
      <alignment vertical="center"/>
    </xf>
    <xf numFmtId="0" fontId="6" fillId="0" borderId="6" xfId="1" applyNumberFormat="1" applyFont="1" applyBorder="1" applyAlignment="1">
      <alignment horizontal="left" vertical="center" shrinkToFit="1"/>
    </xf>
    <xf numFmtId="0" fontId="5" fillId="0" borderId="1" xfId="1" applyNumberFormat="1" applyFont="1" applyBorder="1" applyAlignment="1">
      <alignment horizontal="left"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41" fontId="6" fillId="0" borderId="29" xfId="3" applyNumberFormat="1" applyFont="1" applyFill="1" applyBorder="1" applyAlignment="1">
      <alignment vertical="center"/>
    </xf>
    <xf numFmtId="41" fontId="6" fillId="0" borderId="17" xfId="3" applyNumberFormat="1" applyFont="1" applyFill="1" applyBorder="1" applyAlignment="1">
      <alignment vertical="center"/>
    </xf>
    <xf numFmtId="0" fontId="6" fillId="0" borderId="12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7" xfId="1" applyFont="1" applyBorder="1" applyAlignment="1">
      <alignment vertical="center"/>
    </xf>
    <xf numFmtId="41" fontId="6" fillId="0" borderId="17" xfId="0" applyNumberFormat="1" applyFont="1" applyFill="1" applyBorder="1" applyAlignment="1">
      <alignment horizontal="right" vertical="center" shrinkToFit="1"/>
    </xf>
    <xf numFmtId="0" fontId="6" fillId="0" borderId="12" xfId="0" applyNumberFormat="1" applyFont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0" fontId="6" fillId="0" borderId="45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41" fontId="6" fillId="0" borderId="8" xfId="0" applyNumberFormat="1" applyFont="1" applyFill="1" applyBorder="1" applyAlignment="1">
      <alignment vertical="center"/>
    </xf>
    <xf numFmtId="0" fontId="6" fillId="0" borderId="12" xfId="1" applyNumberFormat="1" applyFont="1" applyBorder="1" applyAlignment="1">
      <alignment horizontal="left" vertical="center" shrinkToFit="1"/>
    </xf>
    <xf numFmtId="0" fontId="5" fillId="0" borderId="14" xfId="0" applyNumberFormat="1" applyFont="1" applyBorder="1" applyAlignment="1">
      <alignment vertical="center"/>
    </xf>
    <xf numFmtId="41" fontId="6" fillId="0" borderId="44" xfId="0" applyNumberFormat="1" applyFont="1" applyFill="1" applyBorder="1" applyAlignment="1">
      <alignment vertical="center"/>
    </xf>
    <xf numFmtId="0" fontId="6" fillId="0" borderId="0" xfId="1" applyNumberFormat="1" applyFont="1" applyBorder="1" applyAlignment="1">
      <alignment horizontal="left" vertical="center" shrinkToFit="1"/>
    </xf>
    <xf numFmtId="41" fontId="6" fillId="0" borderId="22" xfId="0" applyNumberFormat="1" applyFont="1" applyBorder="1" applyAlignment="1">
      <alignment vertical="center"/>
    </xf>
    <xf numFmtId="0" fontId="6" fillId="3" borderId="21" xfId="0" applyNumberFormat="1" applyFont="1" applyFill="1" applyBorder="1" applyAlignment="1">
      <alignment horizontal="left" vertical="center"/>
    </xf>
    <xf numFmtId="41" fontId="6" fillId="3" borderId="22" xfId="0" applyNumberFormat="1" applyFont="1" applyFill="1" applyBorder="1" applyAlignment="1">
      <alignment horizontal="center" vertical="center"/>
    </xf>
    <xf numFmtId="41" fontId="6" fillId="3" borderId="13" xfId="0" applyNumberFormat="1" applyFont="1" applyFill="1" applyBorder="1" applyAlignment="1">
      <alignment horizontal="center" vertical="center"/>
    </xf>
    <xf numFmtId="41" fontId="6" fillId="0" borderId="7" xfId="1" applyFont="1" applyBorder="1" applyAlignment="1">
      <alignment vertical="center" shrinkToFit="1"/>
    </xf>
    <xf numFmtId="41" fontId="6" fillId="0" borderId="7" xfId="1" applyFont="1" applyBorder="1" applyAlignment="1">
      <alignment horizontal="right" vertical="center" shrinkToFit="1"/>
    </xf>
    <xf numFmtId="0" fontId="6" fillId="0" borderId="14" xfId="0" applyNumberFormat="1" applyFont="1" applyBorder="1"/>
    <xf numFmtId="0" fontId="6" fillId="0" borderId="18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1" fontId="5" fillId="0" borderId="30" xfId="0" applyNumberFormat="1" applyFont="1" applyFill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41" fontId="5" fillId="0" borderId="2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6" fillId="0" borderId="2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6" fillId="0" borderId="4" xfId="0" applyNumberFormat="1" applyFont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42" fontId="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1" xfId="3" applyNumberFormat="1" applyFont="1" applyBorder="1" applyAlignment="1">
      <alignment horizontal="right" vertical="center" wrapText="1" shrinkToFit="1"/>
    </xf>
    <xf numFmtId="0" fontId="6" fillId="0" borderId="1" xfId="3" applyNumberFormat="1" applyFont="1" applyBorder="1" applyAlignment="1">
      <alignment horizontal="right" vertical="center" wrapText="1"/>
    </xf>
    <xf numFmtId="42" fontId="6" fillId="0" borderId="0" xfId="3" applyNumberFormat="1" applyFont="1" applyBorder="1" applyAlignment="1">
      <alignment horizontal="left" vertical="center" wrapText="1"/>
    </xf>
    <xf numFmtId="0" fontId="8" fillId="0" borderId="0" xfId="0" applyFont="1" applyBorder="1"/>
    <xf numFmtId="41" fontId="8" fillId="0" borderId="0" xfId="1" applyFont="1" applyFill="1"/>
    <xf numFmtId="41" fontId="8" fillId="0" borderId="0" xfId="1" applyFont="1"/>
    <xf numFmtId="178" fontId="8" fillId="0" borderId="0" xfId="0" applyNumberFormat="1" applyFont="1"/>
    <xf numFmtId="42" fontId="6" fillId="0" borderId="0" xfId="0" applyNumberFormat="1" applyFont="1" applyAlignment="1">
      <alignment horizontal="left" wrapText="1"/>
    </xf>
    <xf numFmtId="41" fontId="7" fillId="0" borderId="0" xfId="1" applyFont="1" applyFill="1"/>
    <xf numFmtId="41" fontId="7" fillId="0" borderId="0" xfId="1" applyFont="1"/>
    <xf numFmtId="178" fontId="7" fillId="0" borderId="0" xfId="0" applyNumberFormat="1" applyFont="1"/>
    <xf numFmtId="42" fontId="7" fillId="0" borderId="0" xfId="0" applyNumberFormat="1" applyFont="1" applyAlignment="1">
      <alignment horizontal="left" wrapText="1"/>
    </xf>
    <xf numFmtId="0" fontId="9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6" fillId="0" borderId="14" xfId="3" applyNumberFormat="1" applyFont="1" applyBorder="1" applyAlignment="1">
      <alignment horizontal="center" vertical="center"/>
    </xf>
    <xf numFmtId="44" fontId="6" fillId="0" borderId="14" xfId="3" applyFont="1" applyBorder="1" applyAlignment="1">
      <alignment horizontal="center" vertical="center"/>
    </xf>
    <xf numFmtId="44" fontId="6" fillId="0" borderId="14" xfId="3" applyFont="1" applyBorder="1" applyAlignment="1">
      <alignment vertical="center"/>
    </xf>
    <xf numFmtId="41" fontId="6" fillId="0" borderId="7" xfId="0" applyNumberFormat="1" applyFont="1" applyFill="1" applyBorder="1" applyAlignment="1">
      <alignment vertical="center"/>
    </xf>
    <xf numFmtId="179" fontId="6" fillId="0" borderId="0" xfId="0" applyNumberFormat="1" applyFont="1"/>
    <xf numFmtId="179" fontId="8" fillId="0" borderId="0" xfId="0" applyNumberFormat="1" applyFont="1"/>
    <xf numFmtId="41" fontId="5" fillId="0" borderId="46" xfId="3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41" fontId="6" fillId="0" borderId="51" xfId="1" applyFont="1" applyBorder="1" applyAlignment="1">
      <alignment vertical="center"/>
    </xf>
    <xf numFmtId="41" fontId="6" fillId="0" borderId="17" xfId="3" applyNumberFormat="1" applyFont="1" applyBorder="1" applyAlignment="1">
      <alignment horizontal="left" vertical="center"/>
    </xf>
    <xf numFmtId="0" fontId="6" fillId="0" borderId="17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0" xfId="3" applyNumberFormat="1" applyFont="1" applyBorder="1" applyAlignment="1">
      <alignment horizontal="left" vertical="center" wrapText="1"/>
    </xf>
    <xf numFmtId="41" fontId="6" fillId="0" borderId="21" xfId="3" applyNumberFormat="1" applyFont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right" vertical="center"/>
    </xf>
    <xf numFmtId="41" fontId="6" fillId="0" borderId="61" xfId="0" applyNumberFormat="1" applyFont="1" applyFill="1" applyBorder="1" applyAlignment="1">
      <alignment vertical="center"/>
    </xf>
    <xf numFmtId="0" fontId="6" fillId="0" borderId="7" xfId="0" applyNumberFormat="1" applyFont="1" applyBorder="1" applyAlignment="1">
      <alignment horizontal="right" vertical="center"/>
    </xf>
    <xf numFmtId="41" fontId="6" fillId="0" borderId="0" xfId="3" applyNumberFormat="1" applyFont="1" applyBorder="1" applyAlignment="1">
      <alignment horizontal="right" vertical="center"/>
    </xf>
    <xf numFmtId="41" fontId="6" fillId="0" borderId="49" xfId="1" applyFont="1" applyBorder="1" applyAlignment="1">
      <alignment vertical="center"/>
    </xf>
    <xf numFmtId="41" fontId="6" fillId="0" borderId="46" xfId="1" applyFont="1" applyBorder="1" applyAlignment="1">
      <alignment vertical="center"/>
    </xf>
    <xf numFmtId="41" fontId="6" fillId="0" borderId="47" xfId="1" applyFont="1" applyBorder="1" applyAlignment="1">
      <alignment vertical="center"/>
    </xf>
    <xf numFmtId="41" fontId="6" fillId="0" borderId="7" xfId="1" applyFont="1" applyBorder="1" applyAlignment="1">
      <alignment horizontal="center" vertical="center" shrinkToFit="1"/>
    </xf>
    <xf numFmtId="41" fontId="6" fillId="0" borderId="7" xfId="1" applyFont="1" applyFill="1" applyBorder="1" applyAlignment="1">
      <alignment vertical="center"/>
    </xf>
    <xf numFmtId="41" fontId="6" fillId="0" borderId="47" xfId="1" applyFont="1" applyFill="1" applyBorder="1" applyAlignment="1">
      <alignment vertical="center"/>
    </xf>
    <xf numFmtId="41" fontId="6" fillId="0" borderId="7" xfId="1" applyFont="1" applyFill="1" applyBorder="1" applyAlignment="1">
      <alignment horizontal="right" vertical="center" shrinkToFit="1"/>
    </xf>
    <xf numFmtId="0" fontId="6" fillId="0" borderId="47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44" xfId="0" applyNumberFormat="1" applyFont="1" applyFill="1" applyBorder="1" applyAlignment="1">
      <alignment horizontal="right" vertical="center"/>
    </xf>
    <xf numFmtId="41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43" xfId="0" applyNumberFormat="1" applyFont="1" applyBorder="1" applyAlignment="1">
      <alignment vertical="center"/>
    </xf>
    <xf numFmtId="41" fontId="5" fillId="0" borderId="43" xfId="3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left" vertical="center"/>
    </xf>
    <xf numFmtId="179" fontId="8" fillId="0" borderId="0" xfId="0" applyNumberFormat="1" applyFont="1" applyBorder="1"/>
    <xf numFmtId="0" fontId="6" fillId="0" borderId="20" xfId="3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4" fontId="6" fillId="0" borderId="0" xfId="3" applyFont="1" applyAlignment="1">
      <alignment vertical="center"/>
    </xf>
    <xf numFmtId="44" fontId="6" fillId="0" borderId="0" xfId="3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41" fontId="5" fillId="0" borderId="4" xfId="3" applyNumberFormat="1" applyFont="1" applyFill="1" applyBorder="1" applyAlignment="1">
      <alignment horizontal="right" vertical="center"/>
    </xf>
    <xf numFmtId="41" fontId="5" fillId="0" borderId="40" xfId="3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0" fontId="5" fillId="0" borderId="0" xfId="3" applyNumberFormat="1" applyFont="1" applyBorder="1" applyAlignment="1">
      <alignment horizontal="left" vertical="center"/>
    </xf>
    <xf numFmtId="41" fontId="5" fillId="0" borderId="7" xfId="1" applyFont="1" applyBorder="1" applyAlignment="1">
      <alignment vertical="center"/>
    </xf>
    <xf numFmtId="41" fontId="6" fillId="0" borderId="12" xfId="3" applyNumberFormat="1" applyFont="1" applyBorder="1" applyAlignment="1">
      <alignment horizontal="left" vertical="center"/>
    </xf>
    <xf numFmtId="0" fontId="5" fillId="0" borderId="0" xfId="3" applyNumberFormat="1" applyFont="1" applyBorder="1" applyAlignment="1">
      <alignment vertical="center"/>
    </xf>
    <xf numFmtId="0" fontId="6" fillId="0" borderId="0" xfId="3" applyNumberFormat="1" applyFont="1" applyBorder="1" applyAlignment="1">
      <alignment horizontal="left" vertical="center" wrapText="1" shrinkToFit="1"/>
    </xf>
    <xf numFmtId="0" fontId="6" fillId="0" borderId="0" xfId="0" applyNumberFormat="1" applyFont="1" applyBorder="1" applyAlignment="1">
      <alignment vertical="center" wrapText="1" shrinkToFit="1"/>
    </xf>
    <xf numFmtId="0" fontId="6" fillId="0" borderId="19" xfId="3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0" xfId="1" applyNumberFormat="1" applyFont="1" applyBorder="1" applyAlignment="1">
      <alignment horizontal="right" vertical="center" wrapText="1"/>
    </xf>
    <xf numFmtId="0" fontId="6" fillId="0" borderId="12" xfId="3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right" vertical="center" wrapText="1"/>
    </xf>
    <xf numFmtId="41" fontId="6" fillId="0" borderId="7" xfId="1" applyFont="1" applyBorder="1" applyAlignment="1">
      <alignment horizontal="right" vertical="center"/>
    </xf>
    <xf numFmtId="0" fontId="6" fillId="0" borderId="48" xfId="3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7" xfId="1" applyNumberFormat="1" applyFont="1" applyBorder="1" applyAlignment="1">
      <alignment horizontal="right" vertical="center" wrapText="1"/>
    </xf>
    <xf numFmtId="41" fontId="6" fillId="0" borderId="0" xfId="1" applyFont="1" applyAlignment="1">
      <alignment vertical="center"/>
    </xf>
    <xf numFmtId="0" fontId="6" fillId="0" borderId="38" xfId="3" applyNumberFormat="1" applyFont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right" vertical="center" wrapText="1"/>
    </xf>
    <xf numFmtId="0" fontId="6" fillId="0" borderId="27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vertical="center"/>
    </xf>
    <xf numFmtId="41" fontId="6" fillId="0" borderId="47" xfId="1" applyFont="1" applyBorder="1" applyAlignment="1">
      <alignment horizontal="right" vertical="center"/>
    </xf>
    <xf numFmtId="0" fontId="6" fillId="0" borderId="27" xfId="3" applyNumberFormat="1" applyFont="1" applyBorder="1" applyAlignment="1">
      <alignment horizontal="center" vertical="center"/>
    </xf>
    <xf numFmtId="0" fontId="6" fillId="0" borderId="27" xfId="3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48" xfId="0" applyNumberFormat="1" applyFont="1" applyBorder="1" applyAlignment="1">
      <alignment horizontal="left" vertical="center" wrapText="1"/>
    </xf>
    <xf numFmtId="41" fontId="6" fillId="0" borderId="0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1" fontId="6" fillId="0" borderId="76" xfId="1" applyFont="1" applyBorder="1" applyAlignment="1">
      <alignment horizontal="left" vertical="center"/>
    </xf>
    <xf numFmtId="41" fontId="6" fillId="0" borderId="0" xfId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4" borderId="36" xfId="1" applyFont="1" applyFill="1" applyBorder="1" applyAlignment="1">
      <alignment horizontal="center" vertical="center"/>
    </xf>
    <xf numFmtId="41" fontId="5" fillId="0" borderId="43" xfId="3" applyNumberFormat="1" applyFont="1" applyFill="1" applyBorder="1" applyAlignment="1">
      <alignment vertical="center"/>
    </xf>
    <xf numFmtId="0" fontId="6" fillId="0" borderId="0" xfId="3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horizontal="right" vertical="center" wrapText="1" shrinkToFit="1"/>
    </xf>
    <xf numFmtId="0" fontId="6" fillId="0" borderId="19" xfId="3" applyNumberFormat="1" applyFont="1" applyBorder="1" applyAlignment="1">
      <alignment vertical="center"/>
    </xf>
    <xf numFmtId="0" fontId="6" fillId="0" borderId="20" xfId="3" applyNumberFormat="1" applyFont="1" applyBorder="1" applyAlignment="1">
      <alignment horizontal="right" vertical="center" wrapText="1"/>
    </xf>
    <xf numFmtId="0" fontId="6" fillId="0" borderId="20" xfId="3" applyNumberFormat="1" applyFont="1" applyBorder="1" applyAlignment="1">
      <alignment vertical="center"/>
    </xf>
    <xf numFmtId="0" fontId="6" fillId="0" borderId="33" xfId="3" applyNumberFormat="1" applyFont="1" applyBorder="1" applyAlignment="1">
      <alignment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right" vertical="center" wrapText="1"/>
    </xf>
    <xf numFmtId="0" fontId="6" fillId="0" borderId="48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0" borderId="19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vertical="center"/>
    </xf>
    <xf numFmtId="0" fontId="6" fillId="0" borderId="48" xfId="0" applyNumberFormat="1" applyFont="1" applyFill="1" applyBorder="1" applyAlignment="1">
      <alignment vertical="center"/>
    </xf>
    <xf numFmtId="0" fontId="6" fillId="0" borderId="12" xfId="3" applyNumberFormat="1" applyFont="1" applyFill="1" applyBorder="1" applyAlignment="1">
      <alignment vertical="center"/>
    </xf>
    <xf numFmtId="0" fontId="6" fillId="0" borderId="48" xfId="3" applyNumberFormat="1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41" fontId="5" fillId="0" borderId="17" xfId="1" applyNumberFormat="1" applyFont="1" applyFill="1" applyBorder="1" applyAlignment="1">
      <alignment vertical="center"/>
    </xf>
    <xf numFmtId="0" fontId="6" fillId="0" borderId="19" xfId="1" applyNumberFormat="1" applyFont="1" applyBorder="1" applyAlignment="1">
      <alignment horizontal="left" vertical="center" shrinkToFit="1"/>
    </xf>
    <xf numFmtId="0" fontId="6" fillId="0" borderId="12" xfId="0" applyNumberFormat="1" applyFont="1" applyBorder="1" applyAlignment="1">
      <alignment horizontal="left" vertical="center"/>
    </xf>
    <xf numFmtId="0" fontId="6" fillId="0" borderId="12" xfId="1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2" fontId="6" fillId="0" borderId="0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/>
    </xf>
    <xf numFmtId="44" fontId="6" fillId="0" borderId="0" xfId="3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12" xfId="4" applyNumberFormat="1" applyFont="1" applyFill="1" applyBorder="1" applyAlignment="1">
      <alignment horizontal="left" vertical="center"/>
    </xf>
    <xf numFmtId="41" fontId="5" fillId="0" borderId="17" xfId="0" applyNumberFormat="1" applyFont="1" applyFill="1" applyBorder="1" applyAlignment="1">
      <alignment horizontal="center" vertical="center"/>
    </xf>
    <xf numFmtId="41" fontId="6" fillId="0" borderId="0" xfId="1" applyFont="1" applyFill="1" applyAlignment="1">
      <alignment vertical="center"/>
    </xf>
    <xf numFmtId="178" fontId="6" fillId="0" borderId="0" xfId="0" applyNumberFormat="1" applyFont="1" applyAlignment="1">
      <alignment vertical="center"/>
    </xf>
    <xf numFmtId="44" fontId="6" fillId="0" borderId="0" xfId="3" applyFont="1" applyBorder="1" applyAlignment="1">
      <alignment vertical="center"/>
    </xf>
    <xf numFmtId="41" fontId="7" fillId="0" borderId="0" xfId="1" applyFont="1" applyBorder="1" applyAlignment="1">
      <alignment horizontal="right" vertical="center" shrinkToFit="1"/>
    </xf>
    <xf numFmtId="41" fontId="5" fillId="2" borderId="2" xfId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41" fontId="6" fillId="0" borderId="64" xfId="1" applyFont="1" applyBorder="1" applyAlignment="1">
      <alignment horizontal="right" vertical="center" shrinkToFit="1"/>
    </xf>
    <xf numFmtId="177" fontId="6" fillId="0" borderId="5" xfId="3" applyNumberFormat="1" applyFont="1" applyBorder="1" applyAlignment="1">
      <alignment vertical="center" shrinkToFit="1"/>
    </xf>
    <xf numFmtId="44" fontId="6" fillId="0" borderId="6" xfId="3" applyFont="1" applyBorder="1" applyAlignment="1">
      <alignment vertical="center"/>
    </xf>
    <xf numFmtId="42" fontId="6" fillId="0" borderId="1" xfId="3" applyNumberFormat="1" applyFont="1" applyBorder="1" applyAlignment="1">
      <alignment horizontal="left" vertical="center" wrapText="1"/>
    </xf>
    <xf numFmtId="44" fontId="6" fillId="0" borderId="1" xfId="3" applyFont="1" applyBorder="1" applyAlignment="1">
      <alignment vertical="center"/>
    </xf>
    <xf numFmtId="44" fontId="6" fillId="0" borderId="12" xfId="3" applyFont="1" applyBorder="1" applyAlignment="1">
      <alignment vertical="center"/>
    </xf>
    <xf numFmtId="41" fontId="5" fillId="0" borderId="9" xfId="3" applyNumberFormat="1" applyFont="1" applyFill="1" applyBorder="1" applyAlignment="1">
      <alignment horizontal="right" vertical="center" shrinkToFit="1"/>
    </xf>
    <xf numFmtId="41" fontId="6" fillId="0" borderId="65" xfId="1" applyFont="1" applyFill="1" applyBorder="1" applyAlignment="1">
      <alignment horizontal="right" vertical="center" shrinkToFit="1"/>
    </xf>
    <xf numFmtId="177" fontId="6" fillId="0" borderId="11" xfId="3" applyNumberFormat="1" applyFont="1" applyBorder="1" applyAlignment="1">
      <alignment vertical="center" shrinkToFit="1"/>
    </xf>
    <xf numFmtId="41" fontId="6" fillId="0" borderId="14" xfId="3" applyNumberFormat="1" applyFont="1" applyFill="1" applyBorder="1" applyAlignment="1">
      <alignment horizontal="center" vertical="center"/>
    </xf>
    <xf numFmtId="41" fontId="6" fillId="0" borderId="15" xfId="3" applyNumberFormat="1" applyFont="1" applyFill="1" applyBorder="1" applyAlignment="1">
      <alignment horizontal="center" vertical="center"/>
    </xf>
    <xf numFmtId="41" fontId="6" fillId="0" borderId="66" xfId="1" applyFont="1" applyFill="1" applyBorder="1" applyAlignment="1">
      <alignment horizontal="right" vertical="center" shrinkToFit="1"/>
    </xf>
    <xf numFmtId="177" fontId="6" fillId="0" borderId="16" xfId="3" applyNumberFormat="1" applyFont="1" applyBorder="1" applyAlignment="1">
      <alignment vertical="center" shrinkToFit="1"/>
    </xf>
    <xf numFmtId="176" fontId="5" fillId="0" borderId="19" xfId="3" applyNumberFormat="1" applyFont="1" applyBorder="1" applyAlignment="1">
      <alignment vertical="center"/>
    </xf>
    <xf numFmtId="42" fontId="5" fillId="0" borderId="20" xfId="3" applyNumberFormat="1" applyFont="1" applyBorder="1" applyAlignment="1">
      <alignment horizontal="left" vertical="center" wrapText="1"/>
    </xf>
    <xf numFmtId="176" fontId="5" fillId="0" borderId="20" xfId="3" applyNumberFormat="1" applyFont="1" applyBorder="1" applyAlignment="1">
      <alignment vertical="center"/>
    </xf>
    <xf numFmtId="41" fontId="6" fillId="0" borderId="22" xfId="3" applyNumberFormat="1" applyFont="1" applyBorder="1" applyAlignment="1">
      <alignment horizontal="right" vertical="center" shrinkToFit="1"/>
    </xf>
    <xf numFmtId="41" fontId="6" fillId="0" borderId="21" xfId="1" applyFont="1" applyFill="1" applyBorder="1" applyAlignment="1">
      <alignment horizontal="right" vertical="center" shrinkToFit="1"/>
    </xf>
    <xf numFmtId="41" fontId="6" fillId="0" borderId="22" xfId="1" applyFont="1" applyBorder="1" applyAlignment="1">
      <alignment horizontal="right" vertical="center" shrinkToFit="1"/>
    </xf>
    <xf numFmtId="177" fontId="6" fillId="0" borderId="23" xfId="3" applyNumberFormat="1" applyFont="1" applyBorder="1" applyAlignment="1">
      <alignment vertical="center" shrinkToFit="1"/>
    </xf>
    <xf numFmtId="42" fontId="6" fillId="0" borderId="12" xfId="3" applyNumberFormat="1" applyFont="1" applyBorder="1" applyAlignment="1">
      <alignment vertical="center"/>
    </xf>
    <xf numFmtId="41" fontId="6" fillId="0" borderId="13" xfId="3" applyNumberFormat="1" applyFont="1" applyBorder="1" applyAlignment="1">
      <alignment horizontal="right" vertical="center" shrinkToFit="1"/>
    </xf>
    <xf numFmtId="41" fontId="6" fillId="0" borderId="17" xfId="1" applyFont="1" applyFill="1" applyBorder="1" applyAlignment="1">
      <alignment horizontal="right" vertical="center" shrinkToFit="1"/>
    </xf>
    <xf numFmtId="41" fontId="6" fillId="0" borderId="44" xfId="1" applyFont="1" applyBorder="1" applyAlignment="1">
      <alignment horizontal="right" vertical="center" shrinkToFit="1"/>
    </xf>
    <xf numFmtId="177" fontId="6" fillId="0" borderId="28" xfId="3" applyNumberFormat="1" applyFont="1" applyBorder="1" applyAlignment="1">
      <alignment vertical="center" shrinkToFit="1"/>
    </xf>
    <xf numFmtId="41" fontId="6" fillId="0" borderId="13" xfId="1" applyFont="1" applyBorder="1" applyAlignment="1">
      <alignment horizontal="right" vertical="center" shrinkToFit="1"/>
    </xf>
    <xf numFmtId="41" fontId="6" fillId="0" borderId="25" xfId="1" applyFont="1" applyBorder="1" applyAlignment="1">
      <alignment horizontal="right" vertical="center" shrinkToFit="1"/>
    </xf>
    <xf numFmtId="41" fontId="6" fillId="0" borderId="67" xfId="1" applyFont="1" applyBorder="1" applyAlignment="1">
      <alignment horizontal="right" vertical="center" shrinkToFit="1"/>
    </xf>
    <xf numFmtId="177" fontId="6" fillId="0" borderId="18" xfId="3" applyNumberFormat="1" applyFont="1" applyBorder="1" applyAlignment="1">
      <alignment vertical="center" shrinkToFit="1"/>
    </xf>
    <xf numFmtId="41" fontId="6" fillId="0" borderId="36" xfId="1" applyFont="1" applyFill="1" applyBorder="1" applyAlignment="1">
      <alignment horizontal="right" vertical="center" shrinkToFit="1"/>
    </xf>
    <xf numFmtId="177" fontId="6" fillId="0" borderId="50" xfId="3" applyNumberFormat="1" applyFont="1" applyBorder="1" applyAlignment="1">
      <alignment vertical="center" shrinkToFit="1"/>
    </xf>
    <xf numFmtId="41" fontId="5" fillId="0" borderId="65" xfId="3" applyNumberFormat="1" applyFont="1" applyFill="1" applyBorder="1" applyAlignment="1">
      <alignment horizontal="right" vertical="center" shrinkToFit="1"/>
    </xf>
    <xf numFmtId="41" fontId="6" fillId="0" borderId="9" xfId="1" applyFont="1" applyFill="1" applyBorder="1" applyAlignment="1">
      <alignment horizontal="right" vertical="center" shrinkToFit="1"/>
    </xf>
    <xf numFmtId="177" fontId="6" fillId="0" borderId="34" xfId="3" applyNumberFormat="1" applyFont="1" applyBorder="1" applyAlignment="1">
      <alignment vertical="center" shrinkToFit="1"/>
    </xf>
    <xf numFmtId="44" fontId="6" fillId="0" borderId="31" xfId="3" applyFont="1" applyBorder="1" applyAlignment="1">
      <alignment horizontal="center" vertical="center"/>
    </xf>
    <xf numFmtId="41" fontId="6" fillId="0" borderId="0" xfId="1" applyFont="1" applyFill="1" applyBorder="1" applyAlignment="1">
      <alignment horizontal="right" vertical="center" shrinkToFit="1"/>
    </xf>
    <xf numFmtId="44" fontId="6" fillId="0" borderId="12" xfId="3" applyNumberFormat="1" applyFont="1" applyFill="1" applyBorder="1" applyAlignment="1" applyProtection="1">
      <alignment horizontal="left" vertical="center"/>
      <protection locked="0"/>
    </xf>
    <xf numFmtId="41" fontId="6" fillId="0" borderId="35" xfId="1" applyFont="1" applyBorder="1" applyAlignment="1">
      <alignment horizontal="right" vertical="center" shrinkToFit="1"/>
    </xf>
    <xf numFmtId="41" fontId="5" fillId="0" borderId="9" xfId="3" applyNumberFormat="1" applyFont="1" applyBorder="1" applyAlignment="1">
      <alignment horizontal="right" vertical="center" shrinkToFit="1"/>
    </xf>
    <xf numFmtId="41" fontId="5" fillId="0" borderId="65" xfId="1" applyFont="1" applyFill="1" applyBorder="1" applyAlignment="1">
      <alignment horizontal="right" vertical="center" shrinkToFit="1"/>
    </xf>
    <xf numFmtId="177" fontId="6" fillId="0" borderId="58" xfId="3" applyNumberFormat="1" applyFont="1" applyBorder="1" applyAlignment="1">
      <alignment vertical="center" shrinkToFit="1"/>
    </xf>
    <xf numFmtId="176" fontId="5" fillId="0" borderId="6" xfId="3" applyNumberFormat="1" applyFont="1" applyBorder="1" applyAlignment="1">
      <alignment vertical="center" shrinkToFit="1"/>
    </xf>
    <xf numFmtId="0" fontId="6" fillId="0" borderId="1" xfId="0" applyFont="1" applyBorder="1" applyAlignment="1"/>
    <xf numFmtId="41" fontId="6" fillId="0" borderId="12" xfId="3" applyNumberFormat="1" applyFont="1" applyFill="1" applyBorder="1" applyAlignment="1">
      <alignment horizontal="left" vertical="center"/>
    </xf>
    <xf numFmtId="42" fontId="6" fillId="0" borderId="14" xfId="3" applyNumberFormat="1" applyFont="1" applyBorder="1" applyAlignment="1">
      <alignment vertical="center"/>
    </xf>
    <xf numFmtId="42" fontId="6" fillId="0" borderId="14" xfId="3" applyNumberFormat="1" applyFont="1" applyBorder="1" applyAlignment="1">
      <alignment horizontal="center" vertical="center"/>
    </xf>
    <xf numFmtId="176" fontId="5" fillId="0" borderId="6" xfId="3" applyNumberFormat="1" applyFont="1" applyBorder="1" applyAlignment="1">
      <alignment vertical="center"/>
    </xf>
    <xf numFmtId="42" fontId="6" fillId="0" borderId="31" xfId="3" applyNumberFormat="1" applyFont="1" applyBorder="1" applyAlignment="1">
      <alignment horizontal="center" vertical="center"/>
    </xf>
    <xf numFmtId="42" fontId="5" fillId="0" borderId="12" xfId="3" applyNumberFormat="1" applyFont="1" applyBorder="1" applyAlignment="1">
      <alignment vertical="center"/>
    </xf>
    <xf numFmtId="42" fontId="6" fillId="0" borderId="0" xfId="0" applyNumberFormat="1" applyFont="1" applyBorder="1" applyAlignment="1">
      <alignment horizontal="left" vertical="center" wrapText="1"/>
    </xf>
    <xf numFmtId="41" fontId="5" fillId="0" borderId="65" xfId="3" applyNumberFormat="1" applyFont="1" applyBorder="1" applyAlignment="1">
      <alignment horizontal="right" vertical="center" shrinkToFit="1"/>
    </xf>
    <xf numFmtId="176" fontId="5" fillId="0" borderId="12" xfId="3" applyNumberFormat="1" applyFont="1" applyBorder="1" applyAlignment="1">
      <alignment vertical="center"/>
    </xf>
    <xf numFmtId="177" fontId="6" fillId="0" borderId="37" xfId="3" applyNumberFormat="1" applyFont="1" applyBorder="1" applyAlignment="1">
      <alignment vertical="center" shrinkToFit="1"/>
    </xf>
    <xf numFmtId="41" fontId="7" fillId="0" borderId="0" xfId="1" applyFont="1" applyAlignment="1">
      <alignment shrinkToFit="1"/>
    </xf>
    <xf numFmtId="41" fontId="6" fillId="0" borderId="0" xfId="3" applyNumberFormat="1" applyFont="1" applyBorder="1" applyAlignment="1">
      <alignment vertical="center"/>
    </xf>
    <xf numFmtId="0" fontId="6" fillId="0" borderId="48" xfId="4" applyNumberFormat="1" applyFont="1" applyFill="1" applyBorder="1" applyAlignment="1">
      <alignment horizontal="left" vertical="center"/>
    </xf>
    <xf numFmtId="42" fontId="6" fillId="0" borderId="12" xfId="3" applyNumberFormat="1" applyFont="1" applyBorder="1" applyAlignment="1">
      <alignment horizontal="left" vertical="center"/>
    </xf>
    <xf numFmtId="42" fontId="6" fillId="0" borderId="0" xfId="3" applyNumberFormat="1" applyFont="1" applyBorder="1" applyAlignment="1">
      <alignment horizontal="left" vertical="center"/>
    </xf>
    <xf numFmtId="0" fontId="6" fillId="0" borderId="0" xfId="3" applyNumberFormat="1" applyFont="1" applyBorder="1" applyAlignment="1">
      <alignment horizontal="right" vertical="center" wrapText="1"/>
    </xf>
    <xf numFmtId="0" fontId="6" fillId="0" borderId="0" xfId="3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0" xfId="3" applyNumberFormat="1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/>
    </xf>
    <xf numFmtId="41" fontId="6" fillId="0" borderId="36" xfId="0" applyNumberFormat="1" applyFont="1" applyFill="1" applyBorder="1" applyAlignment="1">
      <alignment horizontal="left" vertical="center"/>
    </xf>
    <xf numFmtId="41" fontId="6" fillId="0" borderId="35" xfId="0" applyNumberFormat="1" applyFont="1" applyFill="1" applyBorder="1" applyAlignment="1">
      <alignment horizontal="center" vertical="center" shrinkToFit="1"/>
    </xf>
    <xf numFmtId="41" fontId="6" fillId="0" borderId="51" xfId="1" applyFont="1" applyFill="1" applyBorder="1" applyAlignment="1">
      <alignment horizontal="right" vertical="center" shrinkToFit="1"/>
    </xf>
    <xf numFmtId="44" fontId="6" fillId="0" borderId="38" xfId="3" applyNumberFormat="1" applyFont="1" applyFill="1" applyBorder="1" applyAlignment="1" applyProtection="1">
      <alignment horizontal="center" vertical="center"/>
      <protection locked="0"/>
    </xf>
    <xf numFmtId="42" fontId="6" fillId="0" borderId="33" xfId="3" applyNumberFormat="1" applyFont="1" applyFill="1" applyBorder="1" applyAlignment="1" applyProtection="1">
      <alignment horizontal="left" vertical="center" wrapText="1"/>
      <protection locked="0"/>
    </xf>
    <xf numFmtId="41" fontId="5" fillId="0" borderId="71" xfId="1" applyFont="1" applyFill="1" applyBorder="1" applyAlignment="1">
      <alignment horizontal="right" vertical="center" shrinkToFit="1"/>
    </xf>
    <xf numFmtId="41" fontId="6" fillId="0" borderId="9" xfId="1" applyFont="1" applyBorder="1" applyAlignment="1">
      <alignment horizontal="right" vertical="center" shrinkToFit="1"/>
    </xf>
    <xf numFmtId="41" fontId="5" fillId="0" borderId="54" xfId="3" applyNumberFormat="1" applyFont="1" applyBorder="1" applyAlignment="1">
      <alignment horizontal="right" vertical="center" shrinkToFit="1"/>
    </xf>
    <xf numFmtId="41" fontId="5" fillId="0" borderId="83" xfId="3" applyNumberFormat="1" applyFont="1" applyFill="1" applyBorder="1" applyAlignment="1">
      <alignment horizontal="right" vertical="center" shrinkToFit="1"/>
    </xf>
    <xf numFmtId="41" fontId="5" fillId="0" borderId="84" xfId="3" applyNumberFormat="1" applyFont="1" applyFill="1" applyBorder="1" applyAlignment="1">
      <alignment horizontal="right" vertical="center" shrinkToFit="1"/>
    </xf>
    <xf numFmtId="41" fontId="6" fillId="0" borderId="85" xfId="3" applyNumberFormat="1" applyFont="1" applyBorder="1" applyAlignment="1">
      <alignment horizontal="right" vertical="center" shrinkToFit="1"/>
    </xf>
    <xf numFmtId="41" fontId="6" fillId="0" borderId="29" xfId="3" applyNumberFormat="1" applyFont="1" applyBorder="1" applyAlignment="1">
      <alignment horizontal="right" vertical="center" shrinkToFit="1"/>
    </xf>
    <xf numFmtId="41" fontId="5" fillId="0" borderId="40" xfId="3" applyNumberFormat="1" applyFont="1" applyBorder="1" applyAlignment="1">
      <alignment horizontal="right" vertical="center" shrinkToFit="1"/>
    </xf>
    <xf numFmtId="41" fontId="5" fillId="0" borderId="10" xfId="3" applyNumberFormat="1" applyFont="1" applyFill="1" applyBorder="1" applyAlignment="1">
      <alignment horizontal="right" vertical="center" shrinkToFit="1"/>
    </xf>
    <xf numFmtId="41" fontId="5" fillId="0" borderId="15" xfId="3" applyNumberFormat="1" applyFont="1" applyFill="1" applyBorder="1" applyAlignment="1">
      <alignment horizontal="right" vertical="center" shrinkToFit="1"/>
    </xf>
    <xf numFmtId="44" fontId="5" fillId="0" borderId="19" xfId="3" applyNumberFormat="1" applyFont="1" applyFill="1" applyBorder="1" applyAlignment="1" applyProtection="1">
      <alignment horizontal="center" vertical="center"/>
      <protection locked="0"/>
    </xf>
    <xf numFmtId="42" fontId="6" fillId="0" borderId="20" xfId="3" applyNumberFormat="1" applyFont="1" applyFill="1" applyBorder="1" applyAlignment="1" applyProtection="1">
      <alignment horizontal="left" vertical="center" wrapText="1"/>
      <protection locked="0"/>
    </xf>
    <xf numFmtId="44" fontId="6" fillId="0" borderId="20" xfId="3" applyNumberFormat="1" applyFont="1" applyFill="1" applyBorder="1" applyAlignment="1" applyProtection="1">
      <alignment horizontal="center" vertical="center"/>
      <protection locked="0"/>
    </xf>
    <xf numFmtId="41" fontId="7" fillId="0" borderId="93" xfId="1" applyFont="1" applyBorder="1" applyAlignment="1">
      <alignment vertical="center" shrinkToFit="1"/>
    </xf>
    <xf numFmtId="44" fontId="5" fillId="0" borderId="96" xfId="3" applyFont="1" applyFill="1" applyBorder="1" applyAlignment="1">
      <alignment horizontal="center" vertical="center"/>
    </xf>
    <xf numFmtId="41" fontId="5" fillId="0" borderId="97" xfId="1" applyFont="1" applyBorder="1" applyAlignment="1">
      <alignment vertical="center" shrinkToFit="1"/>
    </xf>
    <xf numFmtId="44" fontId="5" fillId="0" borderId="98" xfId="3" applyFont="1" applyFill="1" applyBorder="1" applyAlignment="1">
      <alignment horizontal="center" vertical="center"/>
    </xf>
    <xf numFmtId="41" fontId="6" fillId="0" borderId="93" xfId="1" applyFont="1" applyBorder="1" applyAlignment="1">
      <alignment horizontal="right" vertical="center" shrinkToFit="1"/>
    </xf>
    <xf numFmtId="44" fontId="6" fillId="0" borderId="98" xfId="3" applyFont="1" applyBorder="1" applyAlignment="1">
      <alignment vertical="center"/>
    </xf>
    <xf numFmtId="41" fontId="5" fillId="0" borderId="97" xfId="1" applyFont="1" applyFill="1" applyBorder="1" applyAlignment="1" applyProtection="1">
      <alignment horizontal="right" vertical="center" shrinkToFit="1"/>
      <protection locked="0"/>
    </xf>
    <xf numFmtId="0" fontId="5" fillId="0" borderId="98" xfId="0" applyFont="1" applyFill="1" applyBorder="1" applyAlignment="1">
      <alignment horizontal="center" vertical="center"/>
    </xf>
    <xf numFmtId="41" fontId="6" fillId="0" borderId="93" xfId="1" applyFont="1" applyFill="1" applyBorder="1" applyAlignment="1" applyProtection="1">
      <alignment horizontal="right" vertical="center" shrinkToFit="1"/>
      <protection locked="0"/>
    </xf>
    <xf numFmtId="0" fontId="5" fillId="0" borderId="90" xfId="0" applyFont="1" applyFill="1" applyBorder="1" applyAlignment="1">
      <alignment horizontal="center" vertical="center"/>
    </xf>
    <xf numFmtId="41" fontId="6" fillId="0" borderId="91" xfId="1" applyFont="1" applyFill="1" applyBorder="1" applyAlignment="1" applyProtection="1">
      <alignment horizontal="right" vertical="center" shrinkToFit="1"/>
      <protection locked="0"/>
    </xf>
    <xf numFmtId="44" fontId="5" fillId="0" borderId="96" xfId="3" applyFont="1" applyBorder="1" applyAlignment="1">
      <alignment horizontal="center" vertical="center"/>
    </xf>
    <xf numFmtId="41" fontId="5" fillId="0" borderId="99" xfId="1" applyFont="1" applyBorder="1" applyAlignment="1">
      <alignment horizontal="right" vertical="center" shrinkToFit="1"/>
    </xf>
    <xf numFmtId="41" fontId="6" fillId="0" borderId="93" xfId="1" applyFont="1" applyFill="1" applyBorder="1" applyAlignment="1">
      <alignment horizontal="right" vertical="center" shrinkToFit="1"/>
    </xf>
    <xf numFmtId="41" fontId="6" fillId="0" borderId="93" xfId="1" applyFont="1" applyFill="1" applyBorder="1" applyAlignment="1">
      <alignment shrinkToFit="1"/>
    </xf>
    <xf numFmtId="0" fontId="5" fillId="0" borderId="96" xfId="0" applyFont="1" applyBorder="1" applyAlignment="1">
      <alignment horizontal="center" vertical="center"/>
    </xf>
    <xf numFmtId="0" fontId="6" fillId="0" borderId="98" xfId="0" applyFont="1" applyBorder="1" applyAlignment="1">
      <alignment vertical="center"/>
    </xf>
    <xf numFmtId="0" fontId="5" fillId="0" borderId="98" xfId="0" applyFont="1" applyBorder="1" applyAlignment="1">
      <alignment vertical="center"/>
    </xf>
    <xf numFmtId="0" fontId="5" fillId="0" borderId="100" xfId="0" applyFont="1" applyBorder="1" applyAlignment="1">
      <alignment vertical="center"/>
    </xf>
    <xf numFmtId="42" fontId="6" fillId="0" borderId="101" xfId="3" applyNumberFormat="1" applyFont="1" applyBorder="1" applyAlignment="1">
      <alignment horizontal="center" vertical="center"/>
    </xf>
    <xf numFmtId="0" fontId="6" fillId="0" borderId="102" xfId="3" applyNumberFormat="1" applyFont="1" applyBorder="1" applyAlignment="1">
      <alignment horizontal="left" vertical="center"/>
    </xf>
    <xf numFmtId="41" fontId="6" fillId="0" borderId="103" xfId="3" applyNumberFormat="1" applyFont="1" applyBorder="1" applyAlignment="1">
      <alignment horizontal="right" vertical="center" shrinkToFit="1"/>
    </xf>
    <xf numFmtId="41" fontId="6" fillId="0" borderId="103" xfId="1" applyFont="1" applyBorder="1" applyAlignment="1">
      <alignment horizontal="right" vertical="center" shrinkToFit="1"/>
    </xf>
    <xf numFmtId="177" fontId="6" fillId="0" borderId="104" xfId="3" applyNumberFormat="1" applyFont="1" applyBorder="1" applyAlignment="1">
      <alignment vertical="center" shrinkToFit="1"/>
    </xf>
    <xf numFmtId="176" fontId="5" fillId="0" borderId="105" xfId="3" applyNumberFormat="1" applyFont="1" applyBorder="1" applyAlignment="1">
      <alignment vertical="center"/>
    </xf>
    <xf numFmtId="42" fontId="6" fillId="0" borderId="106" xfId="3" applyNumberFormat="1" applyFont="1" applyBorder="1" applyAlignment="1">
      <alignment horizontal="left" vertical="center" wrapText="1"/>
    </xf>
    <xf numFmtId="0" fontId="6" fillId="0" borderId="106" xfId="3" applyNumberFormat="1" applyFont="1" applyBorder="1" applyAlignment="1">
      <alignment horizontal="left" vertical="center" wrapText="1"/>
    </xf>
    <xf numFmtId="41" fontId="6" fillId="0" borderId="107" xfId="1" applyFont="1" applyBorder="1" applyAlignment="1">
      <alignment horizontal="right" vertical="center" shrinkToFit="1"/>
    </xf>
    <xf numFmtId="0" fontId="6" fillId="0" borderId="0" xfId="0" applyNumberFormat="1" applyFont="1" applyBorder="1" applyAlignment="1">
      <alignment horizontal="left" vertical="center" wrapText="1" shrinkToFit="1"/>
    </xf>
    <xf numFmtId="41" fontId="5" fillId="0" borderId="85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85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78" xfId="0" applyNumberFormat="1" applyFont="1" applyFill="1" applyBorder="1" applyAlignment="1">
      <alignment vertical="center"/>
    </xf>
    <xf numFmtId="41" fontId="5" fillId="0" borderId="29" xfId="0" applyNumberFormat="1" applyFont="1" applyFill="1" applyBorder="1" applyAlignment="1">
      <alignment vertical="center"/>
    </xf>
    <xf numFmtId="41" fontId="5" fillId="0" borderId="31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70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41" fontId="5" fillId="0" borderId="85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>
      <alignment horizontal="center" vertical="center"/>
    </xf>
    <xf numFmtId="41" fontId="6" fillId="0" borderId="29" xfId="1" applyFont="1" applyFill="1" applyBorder="1" applyAlignment="1">
      <alignment horizontal="center" vertical="center"/>
    </xf>
    <xf numFmtId="41" fontId="6" fillId="0" borderId="78" xfId="1" applyNumberFormat="1" applyFont="1" applyFill="1" applyBorder="1" applyAlignment="1">
      <alignment horizontal="center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6" fillId="0" borderId="29" xfId="1" applyNumberFormat="1" applyFont="1" applyFill="1" applyBorder="1" applyAlignment="1">
      <alignment vertical="center"/>
    </xf>
    <xf numFmtId="41" fontId="4" fillId="0" borderId="0" xfId="3" applyNumberFormat="1" applyFont="1" applyBorder="1" applyAlignment="1">
      <alignment horizontal="left" vertical="center"/>
    </xf>
    <xf numFmtId="41" fontId="6" fillId="0" borderId="0" xfId="3" applyNumberFormat="1" applyFont="1" applyBorder="1" applyAlignment="1">
      <alignment horizontal="center" vertical="center"/>
    </xf>
    <xf numFmtId="179" fontId="6" fillId="0" borderId="0" xfId="3" applyNumberFormat="1" applyFont="1" applyBorder="1" applyAlignment="1">
      <alignment horizontal="right" vertical="center"/>
    </xf>
    <xf numFmtId="41" fontId="5" fillId="0" borderId="0" xfId="3" applyNumberFormat="1" applyFont="1" applyBorder="1" applyAlignment="1">
      <alignment horizontal="right" vertical="center"/>
    </xf>
    <xf numFmtId="179" fontId="5" fillId="0" borderId="0" xfId="3" applyNumberFormat="1" applyFont="1" applyBorder="1" applyAlignment="1">
      <alignment horizontal="right" vertical="center"/>
    </xf>
    <xf numFmtId="0" fontId="4" fillId="0" borderId="0" xfId="3" applyNumberFormat="1" applyFont="1" applyBorder="1" applyAlignment="1">
      <alignment horizontal="left" vertical="center"/>
    </xf>
    <xf numFmtId="44" fontId="5" fillId="0" borderId="0" xfId="3" applyFont="1" applyBorder="1" applyAlignment="1">
      <alignment vertical="center"/>
    </xf>
    <xf numFmtId="44" fontId="6" fillId="0" borderId="0" xfId="3" applyFont="1" applyBorder="1" applyAlignment="1">
      <alignment horizontal="center" vertical="center"/>
    </xf>
    <xf numFmtId="41" fontId="4" fillId="0" borderId="0" xfId="3" applyNumberFormat="1" applyFont="1" applyBorder="1" applyAlignment="1">
      <alignment horizontal="center" vertical="center" shrinkToFit="1"/>
    </xf>
    <xf numFmtId="177" fontId="6" fillId="0" borderId="32" xfId="3" applyNumberFormat="1" applyFont="1" applyBorder="1" applyAlignment="1">
      <alignment vertical="center" shrinkToFit="1"/>
    </xf>
    <xf numFmtId="0" fontId="5" fillId="0" borderId="56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left" vertical="center"/>
    </xf>
    <xf numFmtId="0" fontId="6" fillId="0" borderId="57" xfId="0" applyNumberFormat="1" applyFont="1" applyBorder="1" applyAlignment="1">
      <alignment horizontal="left" vertical="center"/>
    </xf>
    <xf numFmtId="0" fontId="6" fillId="0" borderId="57" xfId="0" applyNumberFormat="1" applyFont="1" applyBorder="1" applyAlignment="1">
      <alignment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57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6" fillId="0" borderId="57" xfId="0" applyNumberFormat="1" applyFont="1" applyFill="1" applyBorder="1" applyAlignment="1">
      <alignment vertical="center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6" fillId="0" borderId="57" xfId="0" applyNumberFormat="1" applyFont="1" applyBorder="1"/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41" fontId="5" fillId="0" borderId="0" xfId="3" applyNumberFormat="1" applyFont="1" applyBorder="1" applyAlignment="1">
      <alignment vertical="center"/>
    </xf>
    <xf numFmtId="44" fontId="6" fillId="0" borderId="0" xfId="3" applyFont="1" applyBorder="1" applyAlignment="1">
      <alignment horizontal="right" vertical="center"/>
    </xf>
    <xf numFmtId="44" fontId="6" fillId="0" borderId="0" xfId="3" applyFont="1" applyBorder="1" applyAlignment="1">
      <alignment horizontal="left" vertical="center"/>
    </xf>
    <xf numFmtId="0" fontId="5" fillId="2" borderId="115" xfId="0" applyFont="1" applyFill="1" applyBorder="1" applyAlignment="1">
      <alignment horizontal="center" vertical="center"/>
    </xf>
    <xf numFmtId="41" fontId="6" fillId="0" borderId="117" xfId="0" applyNumberFormat="1" applyFont="1" applyFill="1" applyBorder="1" applyAlignment="1">
      <alignment horizontal="right" vertical="center"/>
    </xf>
    <xf numFmtId="41" fontId="6" fillId="0" borderId="119" xfId="0" applyNumberFormat="1" applyFont="1" applyFill="1" applyBorder="1" applyAlignment="1">
      <alignment horizontal="right" vertical="center"/>
    </xf>
    <xf numFmtId="44" fontId="5" fillId="0" borderId="121" xfId="3" applyFont="1" applyFill="1" applyBorder="1" applyAlignment="1">
      <alignment horizontal="center" vertical="center"/>
    </xf>
    <xf numFmtId="41" fontId="6" fillId="0" borderId="122" xfId="0" applyNumberFormat="1" applyFont="1" applyFill="1" applyBorder="1" applyAlignment="1">
      <alignment horizontal="right" vertical="center"/>
    </xf>
    <xf numFmtId="44" fontId="5" fillId="0" borderId="123" xfId="3" applyFont="1" applyFill="1" applyBorder="1" applyAlignment="1">
      <alignment horizontal="center" vertical="center"/>
    </xf>
    <xf numFmtId="44" fontId="6" fillId="0" borderId="123" xfId="3" applyFont="1" applyBorder="1" applyAlignment="1">
      <alignment vertical="center"/>
    </xf>
    <xf numFmtId="41" fontId="6" fillId="0" borderId="122" xfId="0" applyNumberFormat="1" applyFont="1" applyBorder="1" applyAlignment="1">
      <alignment horizontal="right" vertical="center"/>
    </xf>
    <xf numFmtId="41" fontId="6" fillId="0" borderId="119" xfId="0" applyNumberFormat="1" applyFont="1" applyBorder="1" applyAlignment="1">
      <alignment horizontal="right" vertical="center"/>
    </xf>
    <xf numFmtId="0" fontId="5" fillId="0" borderId="123" xfId="0" applyFont="1" applyFill="1" applyBorder="1" applyAlignment="1">
      <alignment horizontal="center" vertical="center"/>
    </xf>
    <xf numFmtId="41" fontId="6" fillId="0" borderId="124" xfId="0" applyNumberFormat="1" applyFont="1" applyBorder="1" applyAlignment="1">
      <alignment horizontal="right" vertical="center"/>
    </xf>
    <xf numFmtId="0" fontId="5" fillId="0" borderId="114" xfId="0" applyFont="1" applyFill="1" applyBorder="1" applyAlignment="1">
      <alignment horizontal="center" vertical="center"/>
    </xf>
    <xf numFmtId="44" fontId="5" fillId="0" borderId="121" xfId="3" applyFont="1" applyBorder="1" applyAlignment="1">
      <alignment horizontal="center" vertical="center"/>
    </xf>
    <xf numFmtId="41" fontId="6" fillId="0" borderId="125" xfId="0" applyNumberFormat="1" applyFont="1" applyBorder="1" applyAlignment="1">
      <alignment horizontal="right" vertical="center"/>
    </xf>
    <xf numFmtId="0" fontId="5" fillId="0" borderId="121" xfId="0" applyFont="1" applyBorder="1" applyAlignment="1">
      <alignment horizontal="center" vertical="center"/>
    </xf>
    <xf numFmtId="0" fontId="6" fillId="0" borderId="123" xfId="0" applyFont="1" applyBorder="1" applyAlignment="1">
      <alignment vertical="center"/>
    </xf>
    <xf numFmtId="0" fontId="5" fillId="0" borderId="123" xfId="0" applyFont="1" applyBorder="1" applyAlignment="1">
      <alignment vertical="center"/>
    </xf>
    <xf numFmtId="44" fontId="5" fillId="0" borderId="0" xfId="3" applyFont="1" applyBorder="1" applyAlignment="1">
      <alignment horizontal="center" vertical="center"/>
    </xf>
    <xf numFmtId="44" fontId="6" fillId="0" borderId="126" xfId="3" applyFont="1" applyBorder="1" applyAlignment="1">
      <alignment vertical="center"/>
    </xf>
    <xf numFmtId="0" fontId="6" fillId="0" borderId="126" xfId="3" applyNumberFormat="1" applyFont="1" applyBorder="1" applyAlignment="1">
      <alignment horizontal="center" vertical="center"/>
    </xf>
    <xf numFmtId="0" fontId="6" fillId="0" borderId="126" xfId="3" applyNumberFormat="1" applyFont="1" applyBorder="1" applyAlignment="1">
      <alignment vertical="center"/>
    </xf>
    <xf numFmtId="41" fontId="6" fillId="0" borderId="126" xfId="3" applyNumberFormat="1" applyFont="1" applyBorder="1" applyAlignment="1">
      <alignment horizontal="right" vertical="center"/>
    </xf>
    <xf numFmtId="41" fontId="6" fillId="0" borderId="126" xfId="3" applyNumberFormat="1" applyFont="1" applyBorder="1" applyAlignment="1">
      <alignment vertical="center"/>
    </xf>
    <xf numFmtId="41" fontId="5" fillId="0" borderId="70" xfId="3" applyNumberFormat="1" applyFont="1" applyFill="1" applyBorder="1" applyAlignment="1">
      <alignment horizontal="right" vertical="center"/>
    </xf>
    <xf numFmtId="41" fontId="6" fillId="0" borderId="29" xfId="3" applyNumberFormat="1" applyFont="1" applyFill="1" applyBorder="1" applyAlignment="1">
      <alignment horizontal="right" vertical="center" shrinkToFit="1"/>
    </xf>
    <xf numFmtId="41" fontId="6" fillId="0" borderId="24" xfId="3" applyNumberFormat="1" applyFont="1" applyFill="1" applyBorder="1" applyAlignment="1">
      <alignment vertical="center"/>
    </xf>
    <xf numFmtId="0" fontId="5" fillId="0" borderId="43" xfId="0" applyNumberFormat="1" applyFont="1" applyBorder="1" applyAlignment="1">
      <alignment horizontal="center" vertical="center"/>
    </xf>
    <xf numFmtId="41" fontId="5" fillId="0" borderId="43" xfId="0" applyNumberFormat="1" applyFont="1" applyFill="1" applyBorder="1" applyAlignment="1">
      <alignment vertical="center"/>
    </xf>
    <xf numFmtId="41" fontId="6" fillId="0" borderId="127" xfId="0" applyNumberFormat="1" applyFont="1" applyFill="1" applyBorder="1" applyAlignment="1">
      <alignment horizontal="right" vertical="center"/>
    </xf>
    <xf numFmtId="41" fontId="6" fillId="0" borderId="127" xfId="0" applyNumberFormat="1" applyFont="1" applyBorder="1" applyAlignment="1">
      <alignment horizontal="right" vertical="center"/>
    </xf>
    <xf numFmtId="41" fontId="6" fillId="0" borderId="122" xfId="0" applyNumberFormat="1" applyFont="1" applyFill="1" applyBorder="1" applyAlignment="1">
      <alignment horizontal="center" vertical="center"/>
    </xf>
    <xf numFmtId="41" fontId="6" fillId="0" borderId="119" xfId="0" applyNumberFormat="1" applyFont="1" applyFill="1" applyBorder="1" applyAlignment="1">
      <alignment horizontal="center" vertical="center"/>
    </xf>
    <xf numFmtId="41" fontId="6" fillId="0" borderId="124" xfId="0" applyNumberFormat="1" applyFont="1" applyBorder="1" applyAlignment="1">
      <alignment horizontal="center" vertical="center"/>
    </xf>
    <xf numFmtId="41" fontId="6" fillId="0" borderId="119" xfId="0" applyNumberFormat="1" applyFont="1" applyBorder="1" applyAlignment="1">
      <alignment horizontal="center" vertical="center"/>
    </xf>
    <xf numFmtId="41" fontId="6" fillId="3" borderId="124" xfId="0" applyNumberFormat="1" applyFont="1" applyFill="1" applyBorder="1" applyAlignment="1">
      <alignment horizontal="center" vertical="center"/>
    </xf>
    <xf numFmtId="41" fontId="6" fillId="3" borderId="119" xfId="0" applyNumberFormat="1" applyFont="1" applyFill="1" applyBorder="1" applyAlignment="1">
      <alignment horizontal="center" vertical="center"/>
    </xf>
    <xf numFmtId="41" fontId="6" fillId="0" borderId="124" xfId="0" applyNumberFormat="1" applyFont="1" applyBorder="1" applyAlignment="1">
      <alignment vertical="center"/>
    </xf>
    <xf numFmtId="41" fontId="6" fillId="0" borderId="119" xfId="0" applyNumberFormat="1" applyFont="1" applyBorder="1" applyAlignment="1">
      <alignment vertical="center"/>
    </xf>
    <xf numFmtId="41" fontId="6" fillId="0" borderId="125" xfId="0" applyNumberFormat="1" applyFont="1" applyBorder="1" applyAlignment="1">
      <alignment vertical="center"/>
    </xf>
    <xf numFmtId="41" fontId="6" fillId="0" borderId="115" xfId="0" applyNumberFormat="1" applyFont="1" applyBorder="1" applyAlignment="1">
      <alignment horizontal="right" vertical="center"/>
    </xf>
    <xf numFmtId="41" fontId="6" fillId="0" borderId="117" xfId="0" applyNumberFormat="1" applyFont="1" applyBorder="1" applyAlignment="1">
      <alignment horizontal="right" vertical="center"/>
    </xf>
    <xf numFmtId="41" fontId="8" fillId="0" borderId="0" xfId="0" applyNumberFormat="1" applyFont="1"/>
    <xf numFmtId="0" fontId="6" fillId="0" borderId="27" xfId="3" applyNumberFormat="1" applyFont="1" applyBorder="1" applyAlignment="1">
      <alignment vertical="center" wrapText="1"/>
    </xf>
    <xf numFmtId="41" fontId="6" fillId="0" borderId="0" xfId="1" applyFont="1" applyAlignment="1">
      <alignment horizontal="left" vertical="center"/>
    </xf>
    <xf numFmtId="41" fontId="10" fillId="0" borderId="0" xfId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41" fontId="5" fillId="0" borderId="0" xfId="1" applyFont="1" applyAlignment="1">
      <alignment horizontal="left" vertical="center"/>
    </xf>
    <xf numFmtId="41" fontId="5" fillId="0" borderId="74" xfId="1" applyFont="1" applyBorder="1" applyAlignment="1">
      <alignment horizontal="left" vertical="center"/>
    </xf>
    <xf numFmtId="41" fontId="6" fillId="0" borderId="75" xfId="1" applyFont="1" applyBorder="1" applyAlignment="1">
      <alignment horizontal="left" vertical="center"/>
    </xf>
    <xf numFmtId="0" fontId="6" fillId="0" borderId="75" xfId="0" applyFont="1" applyBorder="1" applyAlignment="1">
      <alignment vertical="center"/>
    </xf>
    <xf numFmtId="41" fontId="6" fillId="0" borderId="75" xfId="1" applyFont="1" applyBorder="1" applyAlignment="1">
      <alignment vertical="center"/>
    </xf>
    <xf numFmtId="41" fontId="6" fillId="0" borderId="76" xfId="0" applyNumberFormat="1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41" fontId="6" fillId="0" borderId="76" xfId="1" applyFont="1" applyBorder="1" applyAlignment="1">
      <alignment vertical="center"/>
    </xf>
    <xf numFmtId="41" fontId="6" fillId="0" borderId="27" xfId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1" fontId="5" fillId="0" borderId="75" xfId="1" applyFont="1" applyBorder="1" applyAlignment="1">
      <alignment horizontal="left" vertical="center"/>
    </xf>
    <xf numFmtId="41" fontId="6" fillId="0" borderId="27" xfId="1" applyFont="1" applyBorder="1" applyAlignment="1">
      <alignment horizontal="left" vertical="center"/>
    </xf>
    <xf numFmtId="41" fontId="6" fillId="6" borderId="76" xfId="1" applyFont="1" applyFill="1" applyBorder="1" applyAlignment="1">
      <alignment horizontal="left" vertical="center"/>
    </xf>
    <xf numFmtId="41" fontId="6" fillId="6" borderId="76" xfId="1" applyFont="1" applyFill="1" applyBorder="1" applyAlignment="1">
      <alignment vertical="center"/>
    </xf>
    <xf numFmtId="41" fontId="6" fillId="6" borderId="0" xfId="1" applyFont="1" applyFill="1" applyAlignment="1">
      <alignment vertical="center"/>
    </xf>
    <xf numFmtId="41" fontId="6" fillId="6" borderId="0" xfId="1" applyFont="1" applyFill="1" applyBorder="1" applyAlignment="1">
      <alignment vertical="center"/>
    </xf>
    <xf numFmtId="41" fontId="6" fillId="5" borderId="0" xfId="1" applyFont="1" applyFill="1" applyAlignment="1">
      <alignment horizontal="left" vertical="center"/>
    </xf>
    <xf numFmtId="41" fontId="6" fillId="5" borderId="0" xfId="1" applyFont="1" applyFill="1" applyBorder="1" applyAlignment="1">
      <alignment horizontal="left" vertical="center"/>
    </xf>
    <xf numFmtId="41" fontId="6" fillId="0" borderId="0" xfId="0" applyNumberFormat="1" applyFont="1" applyBorder="1" applyAlignment="1">
      <alignment vertical="center"/>
    </xf>
    <xf numFmtId="41" fontId="6" fillId="6" borderId="0" xfId="1" applyFont="1" applyFill="1" applyAlignment="1">
      <alignment horizontal="left" vertical="center"/>
    </xf>
    <xf numFmtId="41" fontId="6" fillId="5" borderId="75" xfId="1" applyFont="1" applyFill="1" applyBorder="1" applyAlignment="1">
      <alignment horizontal="left" vertical="center"/>
    </xf>
    <xf numFmtId="41" fontId="6" fillId="5" borderId="75" xfId="0" applyNumberFormat="1" applyFont="1" applyFill="1" applyBorder="1" applyAlignment="1">
      <alignment vertical="center"/>
    </xf>
    <xf numFmtId="0" fontId="6" fillId="5" borderId="75" xfId="0" applyFont="1" applyFill="1" applyBorder="1" applyAlignment="1">
      <alignment vertical="center"/>
    </xf>
    <xf numFmtId="41" fontId="6" fillId="5" borderId="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27" xfId="3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" xfId="3" applyNumberFormat="1" applyFont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4" borderId="43" xfId="1" applyNumberFormat="1" applyFont="1" applyFill="1" applyBorder="1" applyAlignment="1">
      <alignment horizontal="center" vertical="center" wrapText="1"/>
    </xf>
    <xf numFmtId="41" fontId="6" fillId="0" borderId="8" xfId="1" applyFont="1" applyBorder="1" applyAlignment="1">
      <alignment horizontal="right" vertical="center" shrinkToFit="1"/>
    </xf>
    <xf numFmtId="177" fontId="6" fillId="0" borderId="39" xfId="3" applyNumberFormat="1" applyFont="1" applyBorder="1" applyAlignment="1">
      <alignment vertical="center" shrinkToFit="1"/>
    </xf>
    <xf numFmtId="177" fontId="6" fillId="0" borderId="30" xfId="3" applyNumberFormat="1" applyFont="1" applyBorder="1" applyAlignment="1">
      <alignment vertical="center" shrinkToFit="1"/>
    </xf>
    <xf numFmtId="41" fontId="5" fillId="0" borderId="129" xfId="0" applyNumberFormat="1" applyFont="1" applyFill="1" applyBorder="1" applyAlignment="1">
      <alignment horizontal="right" vertical="center"/>
    </xf>
    <xf numFmtId="41" fontId="5" fillId="0" borderId="129" xfId="0" applyNumberFormat="1" applyFont="1" applyFill="1" applyBorder="1" applyAlignment="1">
      <alignment vertical="center"/>
    </xf>
    <xf numFmtId="41" fontId="5" fillId="0" borderId="130" xfId="0" applyNumberFormat="1" applyFont="1" applyFill="1" applyBorder="1" applyAlignment="1">
      <alignment vertical="center"/>
    </xf>
    <xf numFmtId="41" fontId="5" fillId="0" borderId="131" xfId="3" applyNumberFormat="1" applyFont="1" applyBorder="1" applyAlignment="1">
      <alignment horizontal="right" vertical="center" shrinkToFit="1"/>
    </xf>
    <xf numFmtId="41" fontId="5" fillId="0" borderId="132" xfId="3" applyNumberFormat="1" applyFont="1" applyFill="1" applyBorder="1" applyAlignment="1">
      <alignment horizontal="right" vertical="center" shrinkToFit="1"/>
    </xf>
    <xf numFmtId="41" fontId="5" fillId="0" borderId="133" xfId="3" applyNumberFormat="1" applyFont="1" applyFill="1" applyBorder="1" applyAlignment="1">
      <alignment horizontal="right" vertical="center" shrinkToFit="1"/>
    </xf>
    <xf numFmtId="41" fontId="6" fillId="0" borderId="129" xfId="3" applyNumberFormat="1" applyFont="1" applyBorder="1" applyAlignment="1">
      <alignment horizontal="right" vertical="center" shrinkToFit="1"/>
    </xf>
    <xf numFmtId="41" fontId="6" fillId="0" borderId="134" xfId="3" applyNumberFormat="1" applyFont="1" applyBorder="1" applyAlignment="1">
      <alignment horizontal="right" vertical="center" shrinkToFit="1"/>
    </xf>
    <xf numFmtId="0" fontId="6" fillId="0" borderId="0" xfId="3" applyNumberFormat="1" applyFont="1" applyBorder="1" applyAlignment="1">
      <alignment horizontal="right" vertical="center" wrapText="1"/>
    </xf>
    <xf numFmtId="0" fontId="6" fillId="0" borderId="0" xfId="3" applyNumberFormat="1" applyFont="1" applyBorder="1" applyAlignment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6" fillId="0" borderId="12" xfId="3" applyNumberFormat="1" applyFont="1" applyBorder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41" fontId="6" fillId="0" borderId="12" xfId="3" applyNumberFormat="1" applyFont="1" applyBorder="1" applyAlignment="1">
      <alignment horizontal="center" vertical="center"/>
    </xf>
    <xf numFmtId="41" fontId="12" fillId="0" borderId="21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0" fontId="4" fillId="0" borderId="0" xfId="3" applyNumberFormat="1" applyFont="1" applyBorder="1" applyAlignment="1">
      <alignment horizontal="left" vertical="center" shrinkToFit="1"/>
    </xf>
    <xf numFmtId="0" fontId="4" fillId="0" borderId="0" xfId="3" applyNumberFormat="1" applyFont="1" applyBorder="1" applyAlignment="1">
      <alignment horizontal="center" vertical="center"/>
    </xf>
    <xf numFmtId="0" fontId="4" fillId="0" borderId="0" xfId="3" applyNumberFormat="1" applyFont="1" applyBorder="1" applyAlignment="1">
      <alignment horizontal="right" vertical="center" wrapText="1" shrinkToFit="1"/>
    </xf>
    <xf numFmtId="41" fontId="4" fillId="0" borderId="7" xfId="1" applyFont="1" applyBorder="1" applyAlignment="1">
      <alignment vertical="center"/>
    </xf>
    <xf numFmtId="41" fontId="12" fillId="0" borderId="21" xfId="3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0" fontId="6" fillId="0" borderId="27" xfId="3" applyNumberFormat="1" applyFont="1" applyBorder="1" applyAlignment="1">
      <alignment vertical="center"/>
    </xf>
    <xf numFmtId="41" fontId="11" fillId="0" borderId="0" xfId="1" applyFont="1" applyAlignment="1">
      <alignment horizontal="left" vertical="center"/>
    </xf>
    <xf numFmtId="0" fontId="11" fillId="0" borderId="0" xfId="0" applyFont="1" applyAlignment="1">
      <alignment vertical="center"/>
    </xf>
    <xf numFmtId="41" fontId="11" fillId="0" borderId="0" xfId="1" applyFont="1" applyAlignment="1">
      <alignment vertical="center"/>
    </xf>
    <xf numFmtId="0" fontId="6" fillId="0" borderId="48" xfId="1" applyNumberFormat="1" applyFont="1" applyBorder="1" applyAlignment="1">
      <alignment horizontal="left" vertical="center" shrinkToFit="1"/>
    </xf>
    <xf numFmtId="0" fontId="6" fillId="0" borderId="12" xfId="1" applyNumberFormat="1" applyFont="1" applyFill="1" applyBorder="1" applyAlignment="1">
      <alignment horizontal="left" vertical="center"/>
    </xf>
    <xf numFmtId="41" fontId="6" fillId="7" borderId="0" xfId="1" applyFont="1" applyFill="1" applyBorder="1" applyAlignment="1">
      <alignment horizontal="left" vertical="center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41" fontId="6" fillId="7" borderId="0" xfId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 wrapText="1"/>
    </xf>
    <xf numFmtId="41" fontId="4" fillId="0" borderId="7" xfId="1" applyFont="1" applyFill="1" applyBorder="1" applyAlignment="1">
      <alignment vertical="center"/>
    </xf>
    <xf numFmtId="41" fontId="4" fillId="0" borderId="49" xfId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51" xfId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right" vertical="center" wrapText="1"/>
    </xf>
    <xf numFmtId="41" fontId="4" fillId="0" borderId="47" xfId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41" fontId="4" fillId="0" borderId="0" xfId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horizontal="left" vertical="center"/>
    </xf>
    <xf numFmtId="42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 shrinkToFit="1"/>
    </xf>
    <xf numFmtId="0" fontId="4" fillId="0" borderId="0" xfId="1" applyNumberFormat="1" applyFont="1" applyFill="1" applyBorder="1" applyAlignment="1">
      <alignment horizontal="left" vertical="center"/>
    </xf>
    <xf numFmtId="41" fontId="4" fillId="0" borderId="7" xfId="1" applyFont="1" applyFill="1" applyBorder="1" applyAlignment="1">
      <alignment horizontal="center" vertical="center"/>
    </xf>
    <xf numFmtId="41" fontId="4" fillId="0" borderId="7" xfId="1" applyFont="1" applyFill="1" applyBorder="1" applyAlignment="1">
      <alignment horizontal="right" vertical="center" shrinkToFit="1"/>
    </xf>
    <xf numFmtId="0" fontId="4" fillId="0" borderId="20" xfId="1" applyNumberFormat="1" applyFont="1" applyFill="1" applyBorder="1" applyAlignment="1">
      <alignment horizontal="left" vertical="center"/>
    </xf>
    <xf numFmtId="44" fontId="4" fillId="0" borderId="0" xfId="3" applyFont="1" applyFill="1" applyBorder="1" applyAlignment="1">
      <alignment vertical="center"/>
    </xf>
    <xf numFmtId="42" fontId="4" fillId="0" borderId="0" xfId="3" applyNumberFormat="1" applyFont="1" applyFill="1" applyBorder="1" applyAlignment="1">
      <alignment horizontal="left" vertical="center" wrapText="1"/>
    </xf>
    <xf numFmtId="0" fontId="4" fillId="0" borderId="27" xfId="1" applyNumberFormat="1" applyFont="1" applyFill="1" applyBorder="1" applyAlignment="1">
      <alignment horizontal="left" vertical="center"/>
    </xf>
    <xf numFmtId="41" fontId="4" fillId="0" borderId="47" xfId="1" applyFont="1" applyFill="1" applyBorder="1" applyAlignment="1">
      <alignment horizontal="left" vertical="center"/>
    </xf>
    <xf numFmtId="0" fontId="4" fillId="0" borderId="0" xfId="4" applyNumberFormat="1" applyFont="1" applyFill="1" applyBorder="1" applyAlignment="1">
      <alignment vertical="center"/>
    </xf>
    <xf numFmtId="0" fontId="4" fillId="0" borderId="27" xfId="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 wrapText="1"/>
    </xf>
    <xf numFmtId="41" fontId="4" fillId="0" borderId="18" xfId="3" applyNumberFormat="1" applyFont="1" applyFill="1" applyBorder="1" applyAlignment="1">
      <alignment vertical="center"/>
    </xf>
    <xf numFmtId="41" fontId="12" fillId="0" borderId="31" xfId="0" applyNumberFormat="1" applyFont="1" applyFill="1" applyBorder="1" applyAlignment="1">
      <alignment vertical="center"/>
    </xf>
    <xf numFmtId="41" fontId="12" fillId="0" borderId="32" xfId="0" applyNumberFormat="1" applyFont="1" applyFill="1" applyBorder="1" applyAlignment="1">
      <alignment vertical="center"/>
    </xf>
    <xf numFmtId="41" fontId="4" fillId="0" borderId="36" xfId="0" applyNumberFormat="1" applyFont="1" applyFill="1" applyBorder="1" applyAlignment="1">
      <alignment vertical="center"/>
    </xf>
    <xf numFmtId="41" fontId="12" fillId="0" borderId="42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12" fillId="0" borderId="1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12" fillId="0" borderId="24" xfId="3" applyNumberFormat="1" applyFont="1" applyFill="1" applyBorder="1" applyAlignment="1">
      <alignment vertical="center"/>
    </xf>
    <xf numFmtId="41" fontId="12" fillId="0" borderId="21" xfId="0" applyNumberFormat="1" applyFont="1" applyFill="1" applyBorder="1" applyAlignment="1">
      <alignment horizontal="center" vertical="center"/>
    </xf>
    <xf numFmtId="41" fontId="12" fillId="0" borderId="17" xfId="1" applyNumberFormat="1" applyFont="1" applyFill="1" applyBorder="1" applyAlignment="1">
      <alignment vertical="center"/>
    </xf>
    <xf numFmtId="41" fontId="12" fillId="0" borderId="17" xfId="0" applyNumberFormat="1" applyFont="1" applyFill="1" applyBorder="1" applyAlignment="1">
      <alignment horizontal="center" vertical="center"/>
    </xf>
    <xf numFmtId="41" fontId="12" fillId="0" borderId="30" xfId="0" applyNumberFormat="1" applyFont="1" applyFill="1" applyBorder="1" applyAlignment="1">
      <alignment vertical="center"/>
    </xf>
    <xf numFmtId="41" fontId="12" fillId="0" borderId="18" xfId="0" applyNumberFormat="1" applyFont="1" applyFill="1" applyBorder="1" applyAlignment="1">
      <alignment vertical="center"/>
    </xf>
    <xf numFmtId="41" fontId="12" fillId="0" borderId="3" xfId="0" applyNumberFormat="1" applyFont="1" applyFill="1" applyBorder="1" applyAlignment="1">
      <alignment vertical="center"/>
    </xf>
    <xf numFmtId="41" fontId="12" fillId="0" borderId="5" xfId="0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0" xfId="1" applyNumberFormat="1" applyFont="1" applyFill="1" applyBorder="1" applyAlignment="1">
      <alignment horizontal="left" vertical="center" shrinkToFit="1"/>
    </xf>
    <xf numFmtId="0" fontId="12" fillId="0" borderId="20" xfId="1" applyNumberFormat="1" applyFont="1" applyFill="1" applyBorder="1" applyAlignment="1">
      <alignment horizontal="left" vertical="center" shrinkToFit="1"/>
    </xf>
    <xf numFmtId="3" fontId="4" fillId="0" borderId="2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left" vertical="center" shrinkToFit="1"/>
    </xf>
    <xf numFmtId="3" fontId="4" fillId="0" borderId="0" xfId="1" applyNumberFormat="1" applyFont="1" applyFill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left" vertical="center" shrinkToFit="1"/>
    </xf>
    <xf numFmtId="41" fontId="4" fillId="0" borderId="7" xfId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27" xfId="1" applyNumberFormat="1" applyFont="1" applyFill="1" applyBorder="1" applyAlignment="1">
      <alignment horizontal="left" vertical="center" shrinkToFit="1"/>
    </xf>
    <xf numFmtId="3" fontId="4" fillId="0" borderId="27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41" fontId="4" fillId="0" borderId="0" xfId="1" applyFont="1" applyFill="1" applyBorder="1" applyAlignment="1">
      <alignment horizontal="right" vertical="center" shrinkToFit="1"/>
    </xf>
    <xf numFmtId="41" fontId="4" fillId="0" borderId="7" xfId="1" applyFont="1" applyFill="1" applyBorder="1" applyAlignment="1">
      <alignment vertical="center" shrinkToFit="1"/>
    </xf>
    <xf numFmtId="41" fontId="4" fillId="0" borderId="47" xfId="1" applyFont="1" applyFill="1" applyBorder="1" applyAlignment="1">
      <alignment horizontal="right" vertical="center" wrapText="1"/>
    </xf>
    <xf numFmtId="0" fontId="4" fillId="0" borderId="20" xfId="1" applyNumberFormat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horizontal="right" vertical="center" wrapText="1"/>
    </xf>
    <xf numFmtId="42" fontId="4" fillId="0" borderId="0" xfId="3" applyNumberFormat="1" applyFont="1" applyFill="1" applyBorder="1" applyAlignment="1">
      <alignment horizontal="left" vertical="center"/>
    </xf>
    <xf numFmtId="0" fontId="4" fillId="0" borderId="27" xfId="1" applyNumberFormat="1" applyFont="1" applyFill="1" applyBorder="1" applyAlignment="1">
      <alignment horizontal="right" vertical="center" wrapText="1"/>
    </xf>
    <xf numFmtId="0" fontId="4" fillId="0" borderId="0" xfId="4" applyNumberFormat="1" applyFont="1" applyFill="1" applyBorder="1" applyAlignment="1">
      <alignment horizontal="left" vertical="center"/>
    </xf>
    <xf numFmtId="0" fontId="4" fillId="0" borderId="0" xfId="4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1" fontId="4" fillId="0" borderId="7" xfId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41" fontId="12" fillId="0" borderId="4" xfId="3" applyNumberFormat="1" applyFont="1" applyFill="1" applyBorder="1" applyAlignment="1">
      <alignment horizontal="right" vertical="center"/>
    </xf>
    <xf numFmtId="41" fontId="12" fillId="0" borderId="40" xfId="3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180" fontId="4" fillId="0" borderId="41" xfId="1" applyNumberFormat="1" applyFont="1" applyFill="1" applyBorder="1" applyAlignment="1">
      <alignment horizontal="right" vertical="center"/>
    </xf>
    <xf numFmtId="41" fontId="12" fillId="0" borderId="8" xfId="3" applyNumberFormat="1" applyFont="1" applyFill="1" applyBorder="1" applyAlignment="1">
      <alignment horizontal="right" vertical="center"/>
    </xf>
    <xf numFmtId="41" fontId="12" fillId="0" borderId="44" xfId="3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180" fontId="4" fillId="0" borderId="41" xfId="0" applyNumberFormat="1" applyFont="1" applyFill="1" applyBorder="1" applyAlignment="1">
      <alignment horizontal="right" vertical="center"/>
    </xf>
    <xf numFmtId="41" fontId="12" fillId="0" borderId="54" xfId="3" applyNumberFormat="1" applyFont="1" applyFill="1" applyBorder="1" applyAlignment="1">
      <alignment horizontal="right" vertical="center"/>
    </xf>
    <xf numFmtId="41" fontId="12" fillId="0" borderId="43" xfId="3" applyNumberFormat="1" applyFont="1" applyFill="1" applyBorder="1" applyAlignment="1">
      <alignment horizontal="right" vertical="center"/>
    </xf>
    <xf numFmtId="41" fontId="4" fillId="0" borderId="41" xfId="0" applyNumberFormat="1" applyFont="1" applyFill="1" applyBorder="1" applyAlignment="1">
      <alignment horizontal="right" vertical="center"/>
    </xf>
    <xf numFmtId="41" fontId="12" fillId="0" borderId="5" xfId="3" applyNumberFormat="1" applyFont="1" applyFill="1" applyBorder="1" applyAlignment="1">
      <alignment horizontal="right" vertical="center"/>
    </xf>
    <xf numFmtId="0" fontId="12" fillId="0" borderId="8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left" vertical="center"/>
    </xf>
    <xf numFmtId="41" fontId="12" fillId="0" borderId="70" xfId="3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180" fontId="4" fillId="0" borderId="39" xfId="0" applyNumberFormat="1" applyFont="1" applyFill="1" applyBorder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180" fontId="4" fillId="0" borderId="28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45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right" vertical="center"/>
    </xf>
    <xf numFmtId="41" fontId="4" fillId="0" borderId="44" xfId="0" applyNumberFormat="1" applyFont="1" applyFill="1" applyBorder="1" applyAlignment="1">
      <alignment horizontal="right" vertical="center"/>
    </xf>
    <xf numFmtId="180" fontId="4" fillId="0" borderId="50" xfId="0" applyNumberFormat="1" applyFont="1" applyFill="1" applyBorder="1" applyAlignment="1">
      <alignment horizontal="right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left" vertical="center"/>
    </xf>
    <xf numFmtId="41" fontId="12" fillId="0" borderId="8" xfId="0" applyNumberFormat="1" applyFont="1" applyFill="1" applyBorder="1" applyAlignment="1">
      <alignment horizontal="right" vertical="center"/>
    </xf>
    <xf numFmtId="41" fontId="12" fillId="0" borderId="43" xfId="0" applyNumberFormat="1" applyFont="1" applyFill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13" xfId="3" applyNumberFormat="1" applyFont="1" applyFill="1" applyBorder="1" applyAlignment="1">
      <alignment horizontal="right" vertical="center" shrinkToFit="1"/>
    </xf>
    <xf numFmtId="41" fontId="4" fillId="0" borderId="7" xfId="3" applyNumberFormat="1" applyFont="1" applyFill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left" vertical="center" shrinkToFit="1"/>
    </xf>
    <xf numFmtId="41" fontId="4" fillId="0" borderId="25" xfId="3" applyNumberFormat="1" applyFont="1" applyFill="1" applyBorder="1" applyAlignment="1">
      <alignment horizontal="right" vertical="center" shrinkToFit="1"/>
    </xf>
    <xf numFmtId="0" fontId="4" fillId="0" borderId="21" xfId="0" applyNumberFormat="1" applyFont="1" applyBorder="1" applyAlignment="1">
      <alignment horizontal="left" vertical="center"/>
    </xf>
    <xf numFmtId="41" fontId="12" fillId="0" borderId="22" xfId="3" applyNumberFormat="1" applyFont="1" applyFill="1" applyBorder="1" applyAlignment="1">
      <alignment horizontal="right" vertical="center" shrinkToFit="1"/>
    </xf>
    <xf numFmtId="41" fontId="12" fillId="0" borderId="21" xfId="3" applyNumberFormat="1" applyFont="1" applyFill="1" applyBorder="1" applyAlignment="1">
      <alignment horizontal="right" vertical="center" shrinkToFit="1"/>
    </xf>
    <xf numFmtId="41" fontId="4" fillId="0" borderId="22" xfId="0" applyNumberFormat="1" applyFont="1" applyBorder="1" applyAlignment="1">
      <alignment horizontal="right" vertical="center"/>
    </xf>
    <xf numFmtId="180" fontId="4" fillId="0" borderId="23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 shrinkToFit="1"/>
    </xf>
    <xf numFmtId="176" fontId="4" fillId="0" borderId="17" xfId="3" applyNumberFormat="1" applyFont="1" applyFill="1" applyBorder="1" applyAlignment="1">
      <alignment horizontal="right" vertical="center" shrinkToFit="1"/>
    </xf>
    <xf numFmtId="41" fontId="4" fillId="0" borderId="17" xfId="3" applyNumberFormat="1" applyFont="1" applyFill="1" applyBorder="1" applyAlignment="1">
      <alignment horizontal="right" vertical="center" shrinkToFit="1"/>
    </xf>
    <xf numFmtId="0" fontId="4" fillId="0" borderId="24" xfId="0" applyNumberFormat="1" applyFont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4" xfId="3" applyNumberFormat="1" applyFont="1" applyFill="1" applyBorder="1" applyAlignment="1">
      <alignment horizontal="right" vertical="center" shrinkToFit="1"/>
    </xf>
    <xf numFmtId="41" fontId="4" fillId="0" borderId="25" xfId="0" applyNumberFormat="1" applyFont="1" applyBorder="1" applyAlignment="1">
      <alignment horizontal="right" vertical="center"/>
    </xf>
    <xf numFmtId="180" fontId="4" fillId="0" borderId="26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left" vertical="center"/>
    </xf>
    <xf numFmtId="41" fontId="12" fillId="0" borderId="13" xfId="0" applyNumberFormat="1" applyFont="1" applyFill="1" applyBorder="1" applyAlignment="1">
      <alignment horizontal="right" vertical="center" shrinkToFit="1"/>
    </xf>
    <xf numFmtId="41" fontId="12" fillId="0" borderId="17" xfId="0" applyNumberFormat="1" applyFont="1" applyFill="1" applyBorder="1" applyAlignment="1">
      <alignment horizontal="right" vertical="center" shrinkToFit="1"/>
    </xf>
    <xf numFmtId="0" fontId="12" fillId="0" borderId="17" xfId="0" applyNumberFormat="1" applyFont="1" applyBorder="1" applyAlignment="1">
      <alignment horizontal="left" vertical="center" shrinkToFit="1"/>
    </xf>
    <xf numFmtId="180" fontId="4" fillId="0" borderId="28" xfId="0" applyNumberFormat="1" applyFont="1" applyBorder="1" applyAlignment="1">
      <alignment horizontal="right" vertical="center"/>
    </xf>
    <xf numFmtId="0" fontId="4" fillId="0" borderId="35" xfId="0" applyNumberFormat="1" applyFont="1" applyBorder="1" applyAlignment="1">
      <alignment vertical="center"/>
    </xf>
    <xf numFmtId="0" fontId="4" fillId="0" borderId="4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41" fontId="4" fillId="0" borderId="35" xfId="0" applyNumberFormat="1" applyFont="1" applyFill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180" fontId="4" fillId="0" borderId="50" xfId="0" applyNumberFormat="1" applyFont="1" applyBorder="1" applyAlignment="1">
      <alignment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4" fillId="0" borderId="43" xfId="0" applyNumberFormat="1" applyFont="1" applyBorder="1" applyAlignment="1">
      <alignment vertical="center"/>
    </xf>
    <xf numFmtId="180" fontId="4" fillId="0" borderId="39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vertical="center"/>
    </xf>
    <xf numFmtId="41" fontId="12" fillId="0" borderId="85" xfId="0" applyNumberFormat="1" applyFont="1" applyFill="1" applyBorder="1" applyAlignment="1">
      <alignment horizontal="right" vertical="center"/>
    </xf>
    <xf numFmtId="41" fontId="12" fillId="0" borderId="21" xfId="0" applyNumberFormat="1" applyFont="1" applyFill="1" applyBorder="1" applyAlignment="1">
      <alignment horizontal="right" vertical="center"/>
    </xf>
    <xf numFmtId="180" fontId="4" fillId="0" borderId="23" xfId="0" applyNumberFormat="1" applyFont="1" applyBorder="1" applyAlignment="1">
      <alignment horizontal="right" vertical="center"/>
    </xf>
    <xf numFmtId="180" fontId="4" fillId="0" borderId="26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vertical="center"/>
    </xf>
    <xf numFmtId="41" fontId="12" fillId="0" borderId="13" xfId="0" applyNumberFormat="1" applyFont="1" applyFill="1" applyBorder="1" applyAlignment="1">
      <alignment horizontal="right" vertical="center"/>
    </xf>
    <xf numFmtId="41" fontId="12" fillId="0" borderId="17" xfId="3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2" fillId="0" borderId="43" xfId="0" applyNumberFormat="1" applyFont="1" applyFill="1" applyBorder="1" applyAlignment="1">
      <alignment horizontal="right" vertical="center"/>
    </xf>
    <xf numFmtId="41" fontId="12" fillId="0" borderId="8" xfId="0" applyNumberFormat="1" applyFont="1" applyFill="1" applyBorder="1" applyAlignment="1">
      <alignment vertical="center"/>
    </xf>
    <xf numFmtId="41" fontId="12" fillId="0" borderId="43" xfId="3" applyNumberFormat="1" applyFont="1" applyFill="1" applyBorder="1" applyAlignment="1">
      <alignment vertical="center"/>
    </xf>
    <xf numFmtId="0" fontId="12" fillId="0" borderId="29" xfId="0" applyNumberFormat="1" applyFont="1" applyBorder="1" applyAlignment="1">
      <alignment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right" vertical="center"/>
    </xf>
    <xf numFmtId="41" fontId="4" fillId="0" borderId="29" xfId="3" applyNumberFormat="1" applyFont="1" applyFill="1" applyBorder="1" applyAlignment="1">
      <alignment vertical="center"/>
    </xf>
    <xf numFmtId="41" fontId="4" fillId="0" borderId="17" xfId="3" applyNumberFormat="1" applyFont="1" applyFill="1" applyBorder="1" applyAlignment="1">
      <alignment vertical="center"/>
    </xf>
    <xf numFmtId="41" fontId="12" fillId="0" borderId="22" xfId="0" applyNumberFormat="1" applyFont="1" applyFill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horizontal="right" vertical="center"/>
    </xf>
    <xf numFmtId="41" fontId="4" fillId="0" borderId="44" xfId="0" applyNumberFormat="1" applyFont="1" applyFill="1" applyBorder="1" applyAlignment="1">
      <alignment vertical="center"/>
    </xf>
    <xf numFmtId="41" fontId="4" fillId="0" borderId="61" xfId="0" applyNumberFormat="1" applyFont="1" applyFill="1" applyBorder="1" applyAlignment="1">
      <alignment vertical="center"/>
    </xf>
    <xf numFmtId="41" fontId="4" fillId="0" borderId="35" xfId="0" applyNumberFormat="1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right" vertical="center"/>
    </xf>
    <xf numFmtId="41" fontId="12" fillId="0" borderId="13" xfId="0" applyNumberFormat="1" applyFont="1" applyFill="1" applyBorder="1" applyAlignment="1">
      <alignment vertical="center"/>
    </xf>
    <xf numFmtId="41" fontId="12" fillId="0" borderId="17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12" fillId="0" borderId="85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41" fontId="4" fillId="0" borderId="78" xfId="0" applyNumberFormat="1" applyFont="1" applyFill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right" vertical="center" wrapText="1"/>
    </xf>
    <xf numFmtId="41" fontId="6" fillId="0" borderId="49" xfId="1" applyFont="1" applyFill="1" applyBorder="1" applyAlignment="1">
      <alignment vertical="center"/>
    </xf>
    <xf numFmtId="41" fontId="12" fillId="0" borderId="29" xfId="0" applyNumberFormat="1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76" fontId="6" fillId="0" borderId="0" xfId="3" applyNumberFormat="1" applyFont="1" applyBorder="1" applyAlignment="1">
      <alignment vertical="center" wrapText="1"/>
    </xf>
    <xf numFmtId="176" fontId="6" fillId="0" borderId="0" xfId="3" applyNumberFormat="1" applyFont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 wrapText="1"/>
    </xf>
    <xf numFmtId="176" fontId="6" fillId="0" borderId="27" xfId="3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 vertical="center"/>
    </xf>
    <xf numFmtId="180" fontId="4" fillId="0" borderId="68" xfId="0" applyNumberFormat="1" applyFont="1" applyBorder="1" applyAlignment="1">
      <alignment horizontal="right" vertical="center"/>
    </xf>
    <xf numFmtId="180" fontId="4" fillId="0" borderId="128" xfId="0" applyNumberFormat="1" applyFont="1" applyBorder="1" applyAlignment="1">
      <alignment horizontal="right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right" vertical="center"/>
    </xf>
    <xf numFmtId="41" fontId="4" fillId="0" borderId="35" xfId="0" applyNumberFormat="1" applyFont="1" applyBorder="1" applyAlignment="1">
      <alignment horizontal="right" vertical="center"/>
    </xf>
    <xf numFmtId="180" fontId="4" fillId="0" borderId="50" xfId="0" applyNumberFormat="1" applyFont="1" applyBorder="1" applyAlignment="1">
      <alignment horizontal="right" vertical="center"/>
    </xf>
    <xf numFmtId="0" fontId="6" fillId="0" borderId="33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horizontal="right" vertical="center" wrapText="1"/>
    </xf>
    <xf numFmtId="41" fontId="6" fillId="0" borderId="51" xfId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41" fontId="12" fillId="0" borderId="7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right" vertical="center" wrapText="1"/>
    </xf>
    <xf numFmtId="41" fontId="6" fillId="0" borderId="0" xfId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horizontal="left" vertical="center"/>
    </xf>
    <xf numFmtId="41" fontId="12" fillId="0" borderId="78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135" xfId="0" applyNumberFormat="1" applyFont="1" applyFill="1" applyBorder="1" applyAlignment="1">
      <alignment horizontal="righ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41" fontId="12" fillId="0" borderId="85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41" fontId="4" fillId="0" borderId="29" xfId="1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41" fontId="12" fillId="0" borderId="29" xfId="0" applyNumberFormat="1" applyFont="1" applyFill="1" applyBorder="1" applyAlignment="1">
      <alignment horizontal="center" vertical="center"/>
    </xf>
    <xf numFmtId="180" fontId="4" fillId="0" borderId="23" xfId="0" applyNumberFormat="1" applyFont="1" applyBorder="1" applyAlignment="1">
      <alignment vertical="center"/>
    </xf>
    <xf numFmtId="41" fontId="4" fillId="0" borderId="29" xfId="1" applyFont="1" applyFill="1" applyBorder="1" applyAlignment="1">
      <alignment horizontal="center" vertical="center"/>
    </xf>
    <xf numFmtId="41" fontId="4" fillId="0" borderId="78" xfId="1" applyNumberFormat="1" applyFont="1" applyFill="1" applyBorder="1" applyAlignment="1">
      <alignment horizontal="center" vertical="center"/>
    </xf>
    <xf numFmtId="180" fontId="4" fillId="0" borderId="58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right" vertical="center"/>
    </xf>
    <xf numFmtId="0" fontId="12" fillId="0" borderId="4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41" fontId="12" fillId="0" borderId="2" xfId="0" applyNumberFormat="1" applyFont="1" applyFill="1" applyBorder="1" applyAlignme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69" xfId="0" applyNumberFormat="1" applyFont="1" applyBorder="1" applyAlignment="1">
      <alignment horizontal="right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vertical="center"/>
    </xf>
    <xf numFmtId="41" fontId="4" fillId="0" borderId="73" xfId="1" applyFont="1" applyFill="1" applyBorder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/>
    </xf>
    <xf numFmtId="41" fontId="12" fillId="0" borderId="4" xfId="0" applyNumberFormat="1" applyFont="1" applyFill="1" applyBorder="1" applyAlignment="1">
      <alignment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41" xfId="0" applyNumberFormat="1" applyFont="1" applyBorder="1" applyAlignment="1">
      <alignment horizontal="righ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vertical="center"/>
    </xf>
    <xf numFmtId="41" fontId="4" fillId="0" borderId="53" xfId="1" applyFont="1" applyFill="1" applyBorder="1" applyAlignment="1">
      <alignment vertical="center"/>
    </xf>
    <xf numFmtId="41" fontId="4" fillId="0" borderId="47" xfId="1" applyFont="1" applyBorder="1" applyAlignment="1">
      <alignment vertical="center"/>
    </xf>
    <xf numFmtId="42" fontId="6" fillId="0" borderId="30" xfId="3" applyNumberFormat="1" applyFont="1" applyBorder="1" applyAlignment="1">
      <alignment horizontal="center" vertical="center"/>
    </xf>
    <xf numFmtId="42" fontId="6" fillId="0" borderId="46" xfId="3" applyNumberFormat="1" applyFont="1" applyBorder="1" applyAlignment="1">
      <alignment horizontal="center" vertical="center"/>
    </xf>
    <xf numFmtId="41" fontId="6" fillId="0" borderId="34" xfId="3" applyNumberFormat="1" applyFont="1" applyFill="1" applyBorder="1" applyAlignment="1">
      <alignment horizontal="center" vertical="center"/>
    </xf>
    <xf numFmtId="41" fontId="6" fillId="0" borderId="63" xfId="3" applyNumberFormat="1" applyFont="1" applyFill="1" applyBorder="1" applyAlignment="1">
      <alignment horizontal="center" vertical="center"/>
    </xf>
    <xf numFmtId="44" fontId="5" fillId="2" borderId="81" xfId="3" applyNumberFormat="1" applyFont="1" applyFill="1" applyBorder="1" applyAlignment="1" applyProtection="1">
      <alignment horizontal="center" vertical="center"/>
      <protection locked="0"/>
    </xf>
    <xf numFmtId="44" fontId="5" fillId="2" borderId="82" xfId="3" applyNumberFormat="1" applyFont="1" applyFill="1" applyBorder="1" applyAlignment="1" applyProtection="1">
      <alignment horizontal="center" vertical="center"/>
      <protection locked="0"/>
    </xf>
    <xf numFmtId="44" fontId="5" fillId="2" borderId="89" xfId="3" applyNumberFormat="1" applyFont="1" applyFill="1" applyBorder="1" applyAlignment="1" applyProtection="1">
      <alignment horizontal="center" vertical="center"/>
      <protection locked="0"/>
    </xf>
    <xf numFmtId="44" fontId="5" fillId="2" borderId="38" xfId="3" applyNumberFormat="1" applyFont="1" applyFill="1" applyBorder="1" applyAlignment="1" applyProtection="1">
      <alignment horizontal="center" vertical="center"/>
      <protection locked="0"/>
    </xf>
    <xf numFmtId="44" fontId="5" fillId="2" borderId="33" xfId="3" applyNumberFormat="1" applyFont="1" applyFill="1" applyBorder="1" applyAlignment="1" applyProtection="1">
      <alignment horizontal="center" vertical="center"/>
      <protection locked="0"/>
    </xf>
    <xf numFmtId="44" fontId="5" fillId="2" borderId="91" xfId="3" applyNumberFormat="1" applyFont="1" applyFill="1" applyBorder="1" applyAlignment="1" applyProtection="1">
      <alignment horizontal="center" vertical="center"/>
      <protection locked="0"/>
    </xf>
    <xf numFmtId="44" fontId="6" fillId="0" borderId="34" xfId="3" applyFont="1" applyBorder="1" applyAlignment="1">
      <alignment horizontal="center" vertical="center"/>
    </xf>
    <xf numFmtId="44" fontId="6" fillId="0" borderId="63" xfId="3" applyFont="1" applyBorder="1" applyAlignment="1">
      <alignment horizontal="center" vertical="center"/>
    </xf>
    <xf numFmtId="178" fontId="5" fillId="2" borderId="80" xfId="0" applyNumberFormat="1" applyFont="1" applyFill="1" applyBorder="1" applyAlignment="1">
      <alignment horizontal="center" vertical="center"/>
    </xf>
    <xf numFmtId="178" fontId="5" fillId="2" borderId="79" xfId="0" applyNumberFormat="1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4" fontId="5" fillId="0" borderId="92" xfId="3" applyFont="1" applyBorder="1" applyAlignment="1">
      <alignment horizontal="center" vertical="center"/>
    </xf>
    <xf numFmtId="44" fontId="5" fillId="0" borderId="52" xfId="3" applyFont="1" applyBorder="1" applyAlignment="1">
      <alignment horizontal="center" vertical="center"/>
    </xf>
    <xf numFmtId="44" fontId="5" fillId="0" borderId="53" xfId="3" applyFont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4" fontId="12" fillId="0" borderId="54" xfId="3" applyFont="1" applyBorder="1" applyAlignment="1">
      <alignment horizontal="center" vertical="center"/>
    </xf>
    <xf numFmtId="44" fontId="12" fillId="0" borderId="52" xfId="3" applyFont="1" applyBorder="1" applyAlignment="1">
      <alignment horizontal="center" vertical="center"/>
    </xf>
    <xf numFmtId="44" fontId="12" fillId="0" borderId="53" xfId="3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6" fillId="0" borderId="0" xfId="3" applyNumberFormat="1" applyFont="1" applyBorder="1" applyAlignment="1">
      <alignment horizontal="right" vertical="center" wrapText="1"/>
    </xf>
    <xf numFmtId="0" fontId="6" fillId="0" borderId="0" xfId="3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44" fontId="5" fillId="2" borderId="6" xfId="3" applyNumberFormat="1" applyFont="1" applyFill="1" applyBorder="1" applyAlignment="1" applyProtection="1">
      <alignment horizontal="center" vertical="center"/>
      <protection locked="0"/>
    </xf>
    <xf numFmtId="44" fontId="5" fillId="2" borderId="1" xfId="3" applyNumberFormat="1" applyFont="1" applyFill="1" applyBorder="1" applyAlignment="1" applyProtection="1">
      <alignment horizontal="center" vertical="center"/>
      <protection locked="0"/>
    </xf>
    <xf numFmtId="44" fontId="5" fillId="2" borderId="46" xfId="3" applyNumberFormat="1" applyFont="1" applyFill="1" applyBorder="1" applyAlignment="1" applyProtection="1">
      <alignment horizontal="center" vertical="center"/>
      <protection locked="0"/>
    </xf>
    <xf numFmtId="44" fontId="5" fillId="2" borderId="51" xfId="3" applyNumberFormat="1" applyFont="1" applyFill="1" applyBorder="1" applyAlignment="1" applyProtection="1">
      <alignment horizontal="center" vertical="center"/>
      <protection locked="0"/>
    </xf>
    <xf numFmtId="44" fontId="5" fillId="2" borderId="110" xfId="3" applyFont="1" applyFill="1" applyBorder="1" applyAlignment="1">
      <alignment horizontal="center" vertical="center"/>
    </xf>
    <xf numFmtId="44" fontId="5" fillId="2" borderId="109" xfId="3" applyFont="1" applyFill="1" applyBorder="1" applyAlignment="1">
      <alignment horizontal="center" vertical="center"/>
    </xf>
    <xf numFmtId="44" fontId="5" fillId="2" borderId="111" xfId="3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2" borderId="113" xfId="0" applyFont="1" applyFill="1" applyBorder="1" applyAlignment="1">
      <alignment horizontal="center" vertical="center"/>
    </xf>
    <xf numFmtId="44" fontId="3" fillId="0" borderId="0" xfId="3" applyFont="1" applyBorder="1" applyAlignment="1">
      <alignment horizontal="left" vertical="center"/>
    </xf>
    <xf numFmtId="44" fontId="5" fillId="0" borderId="55" xfId="3" applyFont="1" applyBorder="1" applyAlignment="1">
      <alignment horizontal="center" vertical="center"/>
    </xf>
    <xf numFmtId="44" fontId="5" fillId="0" borderId="116" xfId="3" applyFont="1" applyBorder="1" applyAlignment="1">
      <alignment horizontal="center" vertical="center"/>
    </xf>
    <xf numFmtId="44" fontId="6" fillId="0" borderId="0" xfId="3" applyFont="1" applyBorder="1" applyAlignment="1">
      <alignment horizontal="right" vertical="center"/>
    </xf>
    <xf numFmtId="0" fontId="5" fillId="2" borderId="112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41" fontId="5" fillId="2" borderId="108" xfId="3" applyNumberFormat="1" applyFont="1" applyFill="1" applyBorder="1" applyAlignment="1">
      <alignment horizontal="center" vertical="center"/>
    </xf>
    <xf numFmtId="41" fontId="5" fillId="2" borderId="109" xfId="3" applyNumberFormat="1" applyFont="1" applyFill="1" applyBorder="1" applyAlignment="1">
      <alignment horizontal="center" vertical="center"/>
    </xf>
  </cellXfs>
  <cellStyles count="6">
    <cellStyle name="쉼표 [0]" xfId="1" builtinId="6"/>
    <cellStyle name="쉼표 [0] 2" xfId="2"/>
    <cellStyle name="통화" xfId="3" builtinId="4"/>
    <cellStyle name="통화 2" xfId="4"/>
    <cellStyle name="표준" xfId="0" builtinId="0"/>
    <cellStyle name="표준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view="pageBreakPreview" topLeftCell="B1" zoomScaleSheetLayoutView="100" workbookViewId="0">
      <selection activeCell="H23" sqref="H23"/>
    </sheetView>
  </sheetViews>
  <sheetFormatPr defaultColWidth="8.88671875" defaultRowHeight="16.5" customHeight="1"/>
  <cols>
    <col min="1" max="1" width="8.6640625" style="123" customWidth="1"/>
    <col min="2" max="2" width="8.77734375" style="123" customWidth="1"/>
    <col min="3" max="3" width="17.21875" style="123" customWidth="1"/>
    <col min="4" max="4" width="10.77734375" style="123" customWidth="1"/>
    <col min="5" max="5" width="12" style="129" bestFit="1" customWidth="1"/>
    <col min="6" max="6" width="9.5546875" style="130" customWidth="1"/>
    <col min="7" max="7" width="6.44140625" style="131" customWidth="1"/>
    <col min="8" max="8" width="12.109375" style="123" customWidth="1"/>
    <col min="9" max="9" width="14" style="132" customWidth="1"/>
    <col min="10" max="10" width="12.6640625" style="123" customWidth="1"/>
    <col min="11" max="11" width="11.5546875" style="317" bestFit="1" customWidth="1"/>
    <col min="12" max="22" width="8.88671875" style="123" customWidth="1"/>
    <col min="23" max="16384" width="8.88671875" style="123"/>
  </cols>
  <sheetData>
    <row r="2" spans="1:11" ht="16.5" customHeight="1">
      <c r="A2" s="1" t="s">
        <v>106</v>
      </c>
      <c r="B2" s="178"/>
      <c r="C2" s="178"/>
      <c r="D2" s="178"/>
      <c r="E2" s="258"/>
      <c r="F2" s="202"/>
      <c r="G2" s="259"/>
      <c r="H2" s="260"/>
      <c r="I2" s="127"/>
      <c r="J2" s="260"/>
      <c r="K2" s="261" t="s">
        <v>60</v>
      </c>
    </row>
    <row r="3" spans="1:11" ht="27" customHeight="1">
      <c r="A3" s="854" t="s">
        <v>0</v>
      </c>
      <c r="B3" s="856" t="s">
        <v>1</v>
      </c>
      <c r="C3" s="858" t="s">
        <v>2</v>
      </c>
      <c r="D3" s="502" t="s">
        <v>110</v>
      </c>
      <c r="E3" s="503" t="s">
        <v>109</v>
      </c>
      <c r="F3" s="840" t="s">
        <v>3</v>
      </c>
      <c r="G3" s="841"/>
      <c r="H3" s="832" t="s">
        <v>34</v>
      </c>
      <c r="I3" s="833"/>
      <c r="J3" s="833"/>
      <c r="K3" s="834"/>
    </row>
    <row r="4" spans="1:11" ht="16.5" customHeight="1">
      <c r="A4" s="855"/>
      <c r="B4" s="857"/>
      <c r="C4" s="859"/>
      <c r="D4" s="501" t="s">
        <v>4</v>
      </c>
      <c r="E4" s="223" t="s">
        <v>5</v>
      </c>
      <c r="F4" s="262" t="s">
        <v>6</v>
      </c>
      <c r="G4" s="263" t="s">
        <v>35</v>
      </c>
      <c r="H4" s="835"/>
      <c r="I4" s="836"/>
      <c r="J4" s="836"/>
      <c r="K4" s="837"/>
    </row>
    <row r="5" spans="1:11" ht="16.5" customHeight="1">
      <c r="A5" s="851" t="s">
        <v>36</v>
      </c>
      <c r="B5" s="852"/>
      <c r="C5" s="853"/>
      <c r="D5" s="334">
        <f>SUM(D6:D8)</f>
        <v>565775447</v>
      </c>
      <c r="E5" s="510">
        <f>SUM(E6:E8)</f>
        <v>563675447</v>
      </c>
      <c r="F5" s="264">
        <f t="shared" ref="F5:F16" si="0">E5-D5</f>
        <v>-2100000</v>
      </c>
      <c r="G5" s="265">
        <f>F5/D5*100</f>
        <v>-0.37117199255202038</v>
      </c>
      <c r="H5" s="266"/>
      <c r="I5" s="267"/>
      <c r="J5" s="268"/>
      <c r="K5" s="345"/>
    </row>
    <row r="6" spans="1:11" ht="16.5" customHeight="1">
      <c r="A6" s="842" t="s">
        <v>37</v>
      </c>
      <c r="B6" s="843"/>
      <c r="C6" s="844"/>
      <c r="D6" s="334">
        <f>D9+D26</f>
        <v>527675447</v>
      </c>
      <c r="E6" s="510">
        <f>E9+E26</f>
        <v>557675447</v>
      </c>
      <c r="F6" s="264">
        <f t="shared" si="0"/>
        <v>30000000</v>
      </c>
      <c r="G6" s="265">
        <f t="shared" ref="G6:G8" si="1">F6/D6*100</f>
        <v>5.6853128510260209</v>
      </c>
      <c r="H6" s="269"/>
      <c r="I6" s="127"/>
      <c r="J6" s="260"/>
      <c r="K6" s="345"/>
    </row>
    <row r="7" spans="1:11" ht="16.5" customHeight="1">
      <c r="A7" s="845" t="s">
        <v>38</v>
      </c>
      <c r="B7" s="846"/>
      <c r="C7" s="847"/>
      <c r="D7" s="334">
        <f>D19</f>
        <v>32100000</v>
      </c>
      <c r="E7" s="510">
        <v>0</v>
      </c>
      <c r="F7" s="264">
        <f t="shared" si="0"/>
        <v>-32100000</v>
      </c>
      <c r="G7" s="265">
        <f t="shared" si="1"/>
        <v>-100</v>
      </c>
      <c r="H7" s="269"/>
      <c r="I7" s="127"/>
      <c r="J7" s="260"/>
      <c r="K7" s="345"/>
    </row>
    <row r="8" spans="1:11" ht="16.5" customHeight="1">
      <c r="A8" s="848" t="s">
        <v>39</v>
      </c>
      <c r="B8" s="849"/>
      <c r="C8" s="850"/>
      <c r="D8" s="334">
        <f>D15</f>
        <v>6000000</v>
      </c>
      <c r="E8" s="510">
        <f>E15</f>
        <v>6000000</v>
      </c>
      <c r="F8" s="264">
        <f t="shared" si="0"/>
        <v>0</v>
      </c>
      <c r="G8" s="265">
        <f t="shared" si="1"/>
        <v>0</v>
      </c>
      <c r="H8" s="269"/>
      <c r="I8" s="127"/>
      <c r="J8" s="260"/>
      <c r="K8" s="345"/>
    </row>
    <row r="9" spans="1:11" ht="16.5" customHeight="1">
      <c r="A9" s="346" t="s">
        <v>37</v>
      </c>
      <c r="B9" s="830" t="s">
        <v>40</v>
      </c>
      <c r="C9" s="831"/>
      <c r="D9" s="335">
        <f>D10</f>
        <v>527625447</v>
      </c>
      <c r="E9" s="511">
        <f>E10</f>
        <v>557625447</v>
      </c>
      <c r="F9" s="271">
        <f t="shared" si="0"/>
        <v>30000000</v>
      </c>
      <c r="G9" s="272">
        <f>F9/D9*100</f>
        <v>5.685851615113628</v>
      </c>
      <c r="H9" s="277" t="s">
        <v>85</v>
      </c>
      <c r="I9" s="278"/>
      <c r="J9" s="279"/>
      <c r="K9" s="347">
        <f>SUM(K10:K13)</f>
        <v>557625447</v>
      </c>
    </row>
    <row r="10" spans="1:11" ht="16.5" customHeight="1">
      <c r="A10" s="348"/>
      <c r="B10" s="273" t="s">
        <v>41</v>
      </c>
      <c r="C10" s="274" t="s">
        <v>42</v>
      </c>
      <c r="D10" s="336">
        <f>SUM(D11:D14)</f>
        <v>527625447</v>
      </c>
      <c r="E10" s="512">
        <f>SUM(E11:E14)</f>
        <v>557625447</v>
      </c>
      <c r="F10" s="275">
        <f t="shared" si="0"/>
        <v>30000000</v>
      </c>
      <c r="G10" s="276"/>
      <c r="H10" s="284" t="s">
        <v>86</v>
      </c>
      <c r="I10" s="127"/>
      <c r="J10" s="323"/>
      <c r="K10" s="349">
        <f>238009447-K13</f>
        <v>236728447</v>
      </c>
    </row>
    <row r="11" spans="1:11" ht="16.5" customHeight="1">
      <c r="A11" s="350"/>
      <c r="B11" s="139"/>
      <c r="C11" s="154" t="s">
        <v>76</v>
      </c>
      <c r="D11" s="337">
        <v>236728447</v>
      </c>
      <c r="E11" s="513">
        <v>236728447</v>
      </c>
      <c r="F11" s="291">
        <f t="shared" si="0"/>
        <v>0</v>
      </c>
      <c r="G11" s="283">
        <f>F11/D11*100</f>
        <v>0</v>
      </c>
      <c r="H11" s="284" t="s">
        <v>87</v>
      </c>
      <c r="I11" s="127"/>
      <c r="J11" s="323"/>
      <c r="K11" s="349">
        <v>25000000</v>
      </c>
    </row>
    <row r="12" spans="1:11" ht="16.5" customHeight="1">
      <c r="A12" s="350"/>
      <c r="B12" s="139"/>
      <c r="C12" s="150" t="s">
        <v>77</v>
      </c>
      <c r="D12" s="338">
        <v>25000000</v>
      </c>
      <c r="E12" s="514">
        <v>25000000</v>
      </c>
      <c r="F12" s="287">
        <f t="shared" si="0"/>
        <v>0</v>
      </c>
      <c r="G12" s="288">
        <f>F12/D12*100</f>
        <v>0</v>
      </c>
      <c r="H12" s="320" t="s">
        <v>88</v>
      </c>
      <c r="I12" s="321"/>
      <c r="J12" s="323"/>
      <c r="K12" s="349">
        <v>294616000</v>
      </c>
    </row>
    <row r="13" spans="1:11" ht="16.5" customHeight="1">
      <c r="A13" s="350"/>
      <c r="B13" s="139"/>
      <c r="C13" s="150" t="s">
        <v>78</v>
      </c>
      <c r="D13" s="338">
        <v>264616000</v>
      </c>
      <c r="E13" s="514">
        <v>294616000</v>
      </c>
      <c r="F13" s="287">
        <f t="shared" si="0"/>
        <v>30000000</v>
      </c>
      <c r="G13" s="288">
        <f>F13/D13*100</f>
        <v>11.337182936783869</v>
      </c>
      <c r="H13" s="284" t="s">
        <v>89</v>
      </c>
      <c r="I13" s="127"/>
      <c r="J13" s="323"/>
      <c r="K13" s="349">
        <v>1281000</v>
      </c>
    </row>
    <row r="14" spans="1:11" ht="16.5" customHeight="1">
      <c r="A14" s="350"/>
      <c r="B14" s="139"/>
      <c r="C14" s="150" t="s">
        <v>66</v>
      </c>
      <c r="D14" s="285">
        <v>1281000</v>
      </c>
      <c r="E14" s="285">
        <v>1281000</v>
      </c>
      <c r="F14" s="289">
        <f t="shared" si="0"/>
        <v>0</v>
      </c>
      <c r="G14" s="288">
        <f>F14/D14*100</f>
        <v>0</v>
      </c>
      <c r="H14" s="284"/>
      <c r="I14" s="127"/>
      <c r="J14" s="323"/>
      <c r="K14" s="349"/>
    </row>
    <row r="15" spans="1:11" ht="16.5" customHeight="1">
      <c r="A15" s="346" t="s">
        <v>26</v>
      </c>
      <c r="B15" s="830" t="s">
        <v>107</v>
      </c>
      <c r="C15" s="831"/>
      <c r="D15" s="270">
        <f>SUM(D16:D18)</f>
        <v>6000000</v>
      </c>
      <c r="E15" s="270">
        <f>SUM(E16:E18)</f>
        <v>6000000</v>
      </c>
      <c r="F15" s="296">
        <f t="shared" si="0"/>
        <v>0</v>
      </c>
      <c r="G15" s="297">
        <f t="shared" ref="G15:G22" si="2">F15/D15*100</f>
        <v>0</v>
      </c>
      <c r="H15" s="342" t="s">
        <v>43</v>
      </c>
      <c r="I15" s="343"/>
      <c r="J15" s="344"/>
      <c r="K15" s="351">
        <f>SUM(K16:K18)</f>
        <v>6000000</v>
      </c>
    </row>
    <row r="16" spans="1:11" ht="16.5" customHeight="1">
      <c r="A16" s="352"/>
      <c r="B16" s="298" t="s">
        <v>26</v>
      </c>
      <c r="C16" s="154" t="s">
        <v>79</v>
      </c>
      <c r="D16" s="285">
        <v>6000000</v>
      </c>
      <c r="E16" s="285">
        <v>6000000</v>
      </c>
      <c r="F16" s="282">
        <f t="shared" si="0"/>
        <v>0</v>
      </c>
      <c r="G16" s="283">
        <f t="shared" si="2"/>
        <v>0</v>
      </c>
      <c r="H16" s="300" t="s">
        <v>55</v>
      </c>
      <c r="I16" s="124"/>
      <c r="J16" s="124" t="s">
        <v>50</v>
      </c>
      <c r="K16" s="353">
        <v>6000000</v>
      </c>
    </row>
    <row r="17" spans="1:11" ht="16.5" customHeight="1">
      <c r="A17" s="352"/>
      <c r="B17" s="140"/>
      <c r="C17" s="150"/>
      <c r="D17" s="285"/>
      <c r="E17" s="285"/>
      <c r="F17" s="289">
        <f t="shared" ref="F17:F19" si="3">E17-D17</f>
        <v>0</v>
      </c>
      <c r="G17" s="288" t="e">
        <f t="shared" si="2"/>
        <v>#DIV/0!</v>
      </c>
      <c r="H17" s="300"/>
      <c r="I17" s="124"/>
      <c r="J17" s="124"/>
      <c r="K17" s="353"/>
    </row>
    <row r="18" spans="1:11" ht="16.5" customHeight="1">
      <c r="A18" s="354"/>
      <c r="B18" s="326"/>
      <c r="C18" s="327"/>
      <c r="D18" s="328"/>
      <c r="E18" s="328"/>
      <c r="F18" s="301"/>
      <c r="G18" s="294"/>
      <c r="H18" s="330"/>
      <c r="I18" s="331"/>
      <c r="J18" s="331"/>
      <c r="K18" s="355"/>
    </row>
    <row r="19" spans="1:11" ht="16.5" customHeight="1">
      <c r="A19" s="356" t="s">
        <v>44</v>
      </c>
      <c r="B19" s="838" t="s">
        <v>7</v>
      </c>
      <c r="C19" s="839"/>
      <c r="D19" s="302">
        <f>SUM(D20:D24)</f>
        <v>32100000</v>
      </c>
      <c r="E19" s="302">
        <f>SUM(E20:E23)</f>
        <v>0</v>
      </c>
      <c r="F19" s="290">
        <f t="shared" si="3"/>
        <v>-32100000</v>
      </c>
      <c r="G19" s="304">
        <f t="shared" si="2"/>
        <v>-100</v>
      </c>
      <c r="H19" s="305" t="s">
        <v>56</v>
      </c>
      <c r="I19" s="306"/>
      <c r="J19" s="125"/>
      <c r="K19" s="357">
        <f>SUM(K20:K23)</f>
        <v>0</v>
      </c>
    </row>
    <row r="20" spans="1:11" ht="16.5" customHeight="1">
      <c r="A20" s="352"/>
      <c r="B20" s="140" t="s">
        <v>45</v>
      </c>
      <c r="C20" s="150" t="s">
        <v>80</v>
      </c>
      <c r="D20" s="285">
        <v>16200000</v>
      </c>
      <c r="E20" s="285">
        <v>0</v>
      </c>
      <c r="F20" s="289">
        <f>E20-D20</f>
        <v>-16200000</v>
      </c>
      <c r="G20" s="283">
        <f t="shared" si="2"/>
        <v>-100</v>
      </c>
      <c r="H20" s="307" t="s">
        <v>81</v>
      </c>
      <c r="I20" s="241"/>
      <c r="J20" s="190"/>
      <c r="K20" s="358">
        <v>0</v>
      </c>
    </row>
    <row r="21" spans="1:11" ht="16.5" customHeight="1">
      <c r="A21" s="352"/>
      <c r="B21" s="141" t="s">
        <v>14</v>
      </c>
      <c r="C21" s="150" t="s">
        <v>90</v>
      </c>
      <c r="D21" s="285">
        <v>15000000</v>
      </c>
      <c r="E21" s="285">
        <v>0</v>
      </c>
      <c r="F21" s="289">
        <f>E21-D21</f>
        <v>-15000000</v>
      </c>
      <c r="G21" s="283">
        <f t="shared" si="2"/>
        <v>-100</v>
      </c>
      <c r="H21" s="307" t="s">
        <v>82</v>
      </c>
      <c r="I21" s="89"/>
      <c r="J21" s="324"/>
      <c r="K21" s="359">
        <v>0</v>
      </c>
    </row>
    <row r="22" spans="1:11" ht="16.5" customHeight="1">
      <c r="A22" s="352"/>
      <c r="B22" s="308"/>
      <c r="C22" s="150" t="s">
        <v>91</v>
      </c>
      <c r="D22" s="285">
        <v>900000</v>
      </c>
      <c r="E22" s="285">
        <v>0</v>
      </c>
      <c r="F22" s="289">
        <f>E22-D22</f>
        <v>-900000</v>
      </c>
      <c r="G22" s="283">
        <f t="shared" si="2"/>
        <v>-100</v>
      </c>
      <c r="H22" s="307" t="s">
        <v>83</v>
      </c>
      <c r="I22" s="251"/>
      <c r="J22" s="325"/>
      <c r="K22" s="359">
        <v>0</v>
      </c>
    </row>
    <row r="23" spans="1:11" ht="16.5" customHeight="1">
      <c r="A23" s="352"/>
      <c r="B23" s="308"/>
      <c r="C23" s="150"/>
      <c r="D23" s="285"/>
      <c r="E23" s="285"/>
      <c r="F23" s="289"/>
      <c r="G23" s="288"/>
      <c r="H23" s="307" t="s">
        <v>84</v>
      </c>
      <c r="I23" s="124"/>
      <c r="J23" s="325"/>
      <c r="K23" s="359">
        <v>0</v>
      </c>
    </row>
    <row r="24" spans="1:11" ht="16.5" customHeight="1">
      <c r="A24" s="360" t="s">
        <v>33</v>
      </c>
      <c r="B24" s="141" t="s">
        <v>14</v>
      </c>
      <c r="C24" s="150"/>
      <c r="D24" s="285"/>
      <c r="E24" s="285"/>
      <c r="F24" s="289"/>
      <c r="G24" s="288"/>
      <c r="H24" s="307"/>
      <c r="I24" s="124"/>
      <c r="J24" s="325"/>
      <c r="K24" s="359"/>
    </row>
    <row r="25" spans="1:11" ht="16.5" customHeight="1">
      <c r="A25" s="361"/>
      <c r="B25" s="828" t="s">
        <v>7</v>
      </c>
      <c r="C25" s="829"/>
      <c r="D25" s="302">
        <f>SUM(D26:D27)</f>
        <v>50000</v>
      </c>
      <c r="E25" s="302">
        <f>SUM(E26:E27)</f>
        <v>50000</v>
      </c>
      <c r="F25" s="504">
        <f>E25-D25</f>
        <v>0</v>
      </c>
      <c r="G25" s="505">
        <f>F25/D25*100</f>
        <v>0</v>
      </c>
      <c r="H25" s="310" t="s">
        <v>32</v>
      </c>
      <c r="I25" s="267"/>
      <c r="J25" s="126"/>
      <c r="K25" s="357">
        <f>SUM(K26:K27)</f>
        <v>50000</v>
      </c>
    </row>
    <row r="26" spans="1:11" ht="16.5" customHeight="1">
      <c r="A26" s="361"/>
      <c r="B26" s="311" t="s">
        <v>59</v>
      </c>
      <c r="C26" s="154" t="s">
        <v>61</v>
      </c>
      <c r="D26" s="285">
        <v>50000</v>
      </c>
      <c r="E26" s="285">
        <v>50000</v>
      </c>
      <c r="F26" s="282">
        <f>E25-D26</f>
        <v>0</v>
      </c>
      <c r="G26" s="283">
        <f>F26/D26*100</f>
        <v>0</v>
      </c>
      <c r="H26" s="312"/>
      <c r="I26" s="127" t="s">
        <v>46</v>
      </c>
      <c r="J26" s="322"/>
      <c r="K26" s="358">
        <v>50000</v>
      </c>
    </row>
    <row r="27" spans="1:11" ht="16.5" customHeight="1">
      <c r="A27" s="360" t="s">
        <v>47</v>
      </c>
      <c r="B27" s="308" t="s">
        <v>14</v>
      </c>
      <c r="C27" s="150"/>
      <c r="D27" s="285"/>
      <c r="E27" s="285"/>
      <c r="F27" s="289"/>
      <c r="G27" s="294"/>
      <c r="H27" s="320"/>
      <c r="I27" s="313"/>
      <c r="J27" s="79"/>
      <c r="K27" s="358"/>
    </row>
    <row r="28" spans="1:11" ht="16.5" customHeight="1">
      <c r="A28" s="362"/>
      <c r="B28" s="828" t="s">
        <v>7</v>
      </c>
      <c r="C28" s="829"/>
      <c r="D28" s="302">
        <f>SUM(D29:D30)</f>
        <v>0</v>
      </c>
      <c r="E28" s="302">
        <f>SUM(E29:E30)</f>
        <v>0</v>
      </c>
      <c r="F28" s="333">
        <f>E27-D28</f>
        <v>0</v>
      </c>
      <c r="G28" s="297" t="e">
        <f>F28/D28*100</f>
        <v>#DIV/0!</v>
      </c>
      <c r="H28" s="310"/>
      <c r="I28" s="267"/>
      <c r="J28" s="126"/>
      <c r="K28" s="357">
        <f>SUM(K29:K30)</f>
        <v>0</v>
      </c>
    </row>
    <row r="29" spans="1:11" ht="16.5" customHeight="1">
      <c r="A29" s="363"/>
      <c r="B29" s="311" t="s">
        <v>54</v>
      </c>
      <c r="C29" s="152" t="s">
        <v>92</v>
      </c>
      <c r="D29" s="280"/>
      <c r="E29" s="280">
        <v>0</v>
      </c>
      <c r="F29" s="289">
        <f>E28-D29</f>
        <v>0</v>
      </c>
      <c r="G29" s="283" t="e">
        <f>F29/D29*100</f>
        <v>#DIV/0!</v>
      </c>
      <c r="H29" s="315"/>
      <c r="I29" s="127"/>
      <c r="J29" s="153"/>
      <c r="K29" s="349"/>
    </row>
    <row r="30" spans="1:11" ht="16.5" customHeight="1">
      <c r="A30" s="128"/>
      <c r="B30" s="364"/>
      <c r="C30" s="365"/>
      <c r="D30" s="366"/>
      <c r="E30" s="366"/>
      <c r="F30" s="367">
        <f>E29-D30</f>
        <v>0</v>
      </c>
      <c r="G30" s="368" t="e">
        <f>F30/D30*100</f>
        <v>#DIV/0!</v>
      </c>
      <c r="H30" s="369"/>
      <c r="I30" s="370"/>
      <c r="J30" s="371"/>
      <c r="K30" s="372"/>
    </row>
    <row r="31" spans="1:11" s="122" customFormat="1" ht="16.5" customHeight="1">
      <c r="B31" s="123"/>
      <c r="C31" s="123"/>
      <c r="D31" s="123"/>
      <c r="E31" s="133"/>
      <c r="F31" s="130"/>
      <c r="G31" s="131"/>
      <c r="H31" s="123"/>
      <c r="I31" s="132"/>
      <c r="J31" s="123"/>
      <c r="K31" s="317"/>
    </row>
    <row r="32" spans="1:11" s="122" customFormat="1" ht="16.5" customHeight="1">
      <c r="E32" s="133"/>
      <c r="F32" s="134"/>
      <c r="G32" s="135"/>
      <c r="I32" s="136"/>
      <c r="K32" s="317"/>
    </row>
    <row r="33" spans="5:11" s="122" customFormat="1" ht="16.5" customHeight="1">
      <c r="E33" s="133"/>
      <c r="F33" s="134"/>
      <c r="G33" s="135"/>
      <c r="I33" s="136"/>
      <c r="K33" s="317"/>
    </row>
    <row r="34" spans="5:11" s="122" customFormat="1" ht="16.5" customHeight="1">
      <c r="E34" s="133"/>
      <c r="F34" s="134"/>
      <c r="G34" s="135"/>
      <c r="I34" s="136"/>
      <c r="K34" s="317"/>
    </row>
    <row r="35" spans="5:11" s="122" customFormat="1" ht="16.5" customHeight="1">
      <c r="E35" s="133"/>
      <c r="F35" s="134"/>
      <c r="G35" s="135"/>
      <c r="I35" s="136"/>
      <c r="K35" s="317"/>
    </row>
    <row r="36" spans="5:11" s="122" customFormat="1" ht="16.5" customHeight="1">
      <c r="E36" s="133"/>
      <c r="F36" s="134"/>
      <c r="G36" s="135"/>
      <c r="I36" s="136"/>
      <c r="K36" s="317"/>
    </row>
    <row r="37" spans="5:11" s="122" customFormat="1" ht="16.5" customHeight="1">
      <c r="E37" s="133"/>
      <c r="F37" s="134"/>
      <c r="G37" s="135"/>
      <c r="I37" s="136"/>
      <c r="K37" s="317"/>
    </row>
    <row r="38" spans="5:11" s="122" customFormat="1" ht="16.5" customHeight="1">
      <c r="E38" s="133"/>
      <c r="F38" s="134"/>
      <c r="G38" s="135"/>
      <c r="I38" s="136"/>
      <c r="K38" s="317"/>
    </row>
    <row r="39" spans="5:11" s="122" customFormat="1" ht="16.5" customHeight="1">
      <c r="E39" s="133"/>
      <c r="F39" s="134"/>
      <c r="G39" s="135"/>
      <c r="I39" s="136"/>
      <c r="K39" s="317"/>
    </row>
    <row r="40" spans="5:11" s="122" customFormat="1" ht="16.5" customHeight="1">
      <c r="E40" s="133"/>
      <c r="F40" s="134"/>
      <c r="G40" s="135"/>
      <c r="I40" s="136"/>
      <c r="K40" s="317"/>
    </row>
    <row r="41" spans="5:11" s="122" customFormat="1" ht="16.5" customHeight="1">
      <c r="E41" s="133"/>
      <c r="F41" s="134"/>
      <c r="G41" s="135"/>
      <c r="I41" s="136"/>
      <c r="K41" s="317"/>
    </row>
    <row r="42" spans="5:11" s="122" customFormat="1" ht="16.5" customHeight="1">
      <c r="E42" s="133"/>
      <c r="F42" s="134"/>
      <c r="G42" s="135"/>
      <c r="I42" s="136"/>
      <c r="K42" s="317"/>
    </row>
    <row r="43" spans="5:11" s="122" customFormat="1" ht="16.5" customHeight="1">
      <c r="E43" s="133"/>
      <c r="F43" s="134"/>
      <c r="G43" s="135"/>
      <c r="I43" s="136"/>
      <c r="K43" s="317"/>
    </row>
    <row r="44" spans="5:11" s="122" customFormat="1" ht="16.5" customHeight="1">
      <c r="E44" s="133"/>
      <c r="F44" s="134"/>
      <c r="G44" s="135"/>
      <c r="I44" s="136"/>
      <c r="K44" s="317"/>
    </row>
    <row r="45" spans="5:11" s="122" customFormat="1" ht="16.5" customHeight="1">
      <c r="E45" s="133"/>
      <c r="F45" s="134"/>
      <c r="G45" s="135"/>
      <c r="I45" s="136"/>
      <c r="K45" s="317"/>
    </row>
    <row r="46" spans="5:11" s="122" customFormat="1" ht="16.5" customHeight="1">
      <c r="E46" s="133"/>
      <c r="F46" s="134"/>
      <c r="G46" s="135"/>
      <c r="I46" s="136"/>
      <c r="K46" s="317"/>
    </row>
    <row r="47" spans="5:11" s="122" customFormat="1" ht="16.5" customHeight="1">
      <c r="E47" s="133"/>
      <c r="F47" s="134"/>
      <c r="G47" s="135"/>
      <c r="I47" s="136"/>
      <c r="K47" s="317"/>
    </row>
    <row r="48" spans="5:11" s="122" customFormat="1" ht="16.5" customHeight="1">
      <c r="E48" s="133"/>
      <c r="F48" s="134"/>
      <c r="G48" s="135"/>
      <c r="I48" s="136"/>
      <c r="K48" s="317"/>
    </row>
    <row r="49" spans="2:11" s="122" customFormat="1" ht="16.5" customHeight="1">
      <c r="E49" s="133"/>
      <c r="F49" s="134"/>
      <c r="G49" s="135"/>
      <c r="I49" s="136"/>
      <c r="K49" s="317"/>
    </row>
    <row r="50" spans="2:11" s="122" customFormat="1" ht="16.5" customHeight="1">
      <c r="E50" s="133"/>
      <c r="F50" s="134"/>
      <c r="G50" s="135"/>
      <c r="I50" s="136"/>
      <c r="K50" s="317"/>
    </row>
    <row r="51" spans="2:11" s="122" customFormat="1" ht="16.5" customHeight="1">
      <c r="E51" s="133"/>
      <c r="F51" s="134"/>
      <c r="G51" s="135"/>
      <c r="I51" s="136"/>
      <c r="K51" s="317"/>
    </row>
    <row r="52" spans="2:11" s="122" customFormat="1" ht="16.5" customHeight="1">
      <c r="E52" s="133"/>
      <c r="F52" s="134"/>
      <c r="G52" s="135"/>
      <c r="I52" s="136"/>
      <c r="K52" s="317"/>
    </row>
    <row r="53" spans="2:11" s="122" customFormat="1" ht="16.5" customHeight="1">
      <c r="E53" s="133"/>
      <c r="F53" s="134"/>
      <c r="G53" s="135"/>
      <c r="I53" s="136"/>
      <c r="K53" s="317"/>
    </row>
    <row r="54" spans="2:11" s="122" customFormat="1" ht="16.5" customHeight="1">
      <c r="E54" s="133"/>
      <c r="F54" s="134"/>
      <c r="G54" s="135"/>
      <c r="I54" s="136"/>
      <c r="K54" s="317"/>
    </row>
    <row r="55" spans="2:11" s="122" customFormat="1" ht="16.5" customHeight="1">
      <c r="E55" s="133"/>
      <c r="F55" s="134"/>
      <c r="G55" s="135"/>
      <c r="I55" s="136"/>
      <c r="K55" s="317"/>
    </row>
    <row r="56" spans="2:11" s="122" customFormat="1" ht="16.5" customHeight="1">
      <c r="E56" s="133"/>
      <c r="F56" s="134"/>
      <c r="G56" s="135"/>
      <c r="I56" s="136"/>
      <c r="K56" s="317"/>
    </row>
    <row r="57" spans="2:11" ht="16.5" customHeight="1">
      <c r="B57" s="122"/>
      <c r="C57" s="122"/>
      <c r="D57" s="122"/>
      <c r="F57" s="134"/>
      <c r="G57" s="135"/>
      <c r="H57" s="122"/>
      <c r="I57" s="136"/>
      <c r="J57" s="122"/>
    </row>
  </sheetData>
  <sheetProtection selectLockedCells="1" selectUnlockedCells="1"/>
  <mergeCells count="14">
    <mergeCell ref="B25:C25"/>
    <mergeCell ref="B28:C28"/>
    <mergeCell ref="B15:C15"/>
    <mergeCell ref="H3:K4"/>
    <mergeCell ref="B9:C9"/>
    <mergeCell ref="B19:C19"/>
    <mergeCell ref="F3:G3"/>
    <mergeCell ref="A6:C6"/>
    <mergeCell ref="A7:C7"/>
    <mergeCell ref="A8:C8"/>
    <mergeCell ref="A5:C5"/>
    <mergeCell ref="A3:A4"/>
    <mergeCell ref="B3:B4"/>
    <mergeCell ref="C3:C4"/>
  </mergeCells>
  <phoneticPr fontId="2" type="noConversion"/>
  <printOptions horizontalCentered="1"/>
  <pageMargins left="0.19685039370078741" right="0.11811023622047245" top="0.59055118110236227" bottom="0.35433070866141736" header="0.39370078740157483" footer="0.31496062992125984"/>
  <pageSetup paperSize="9" fitToWidth="100" fitToHeight="10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1"/>
  <sheetViews>
    <sheetView tabSelected="1" view="pageBreakPreview" topLeftCell="A97" zoomScaleSheetLayoutView="100" workbookViewId="0">
      <selection activeCell="K138" sqref="K138"/>
    </sheetView>
  </sheetViews>
  <sheetFormatPr defaultColWidth="8.88671875" defaultRowHeight="16.5" customHeight="1"/>
  <cols>
    <col min="1" max="2" width="8.88671875" style="178"/>
    <col min="3" max="3" width="12.21875" style="178" bestFit="1" customWidth="1"/>
    <col min="4" max="5" width="11.77734375" style="179" customWidth="1"/>
    <col min="6" max="6" width="9.6640625" style="178" customWidth="1"/>
    <col min="7" max="7" width="7.33203125" style="178" customWidth="1"/>
    <col min="8" max="8" width="12.77734375" style="178" customWidth="1"/>
    <col min="9" max="9" width="26.6640625" style="481" customWidth="1"/>
    <col min="10" max="10" width="3.33203125" style="178" customWidth="1"/>
    <col min="11" max="11" width="23.77734375" style="178" customWidth="1"/>
    <col min="12" max="12" width="13.6640625" style="80" bestFit="1" customWidth="1"/>
    <col min="13" max="13" width="13.44140625" style="468" hidden="1" customWidth="1"/>
    <col min="14" max="14" width="10.44140625" style="178" hidden="1" customWidth="1"/>
    <col min="15" max="15" width="8.21875" style="178" hidden="1" customWidth="1"/>
    <col min="16" max="16" width="8.21875" style="202" hidden="1" customWidth="1"/>
    <col min="17" max="17" width="9.33203125" style="202" hidden="1" customWidth="1"/>
    <col min="18" max="19" width="8.88671875" style="178" hidden="1" customWidth="1"/>
    <col min="20" max="20" width="8.88671875" style="178" customWidth="1"/>
    <col min="21" max="16384" width="8.88671875" style="178"/>
  </cols>
  <sheetData>
    <row r="1" spans="1:21" ht="16.5" customHeight="1">
      <c r="A1" s="1" t="s">
        <v>113</v>
      </c>
      <c r="H1" s="180"/>
      <c r="I1" s="181"/>
      <c r="J1" s="180"/>
      <c r="K1" s="873" t="s">
        <v>114</v>
      </c>
      <c r="L1" s="873"/>
    </row>
    <row r="2" spans="1:21" ht="25.5" customHeight="1">
      <c r="A2" s="874" t="s">
        <v>0</v>
      </c>
      <c r="B2" s="876" t="s">
        <v>1</v>
      </c>
      <c r="C2" s="877" t="s">
        <v>2</v>
      </c>
      <c r="D2" s="502" t="s">
        <v>115</v>
      </c>
      <c r="E2" s="503" t="s">
        <v>116</v>
      </c>
      <c r="F2" s="878" t="s">
        <v>3</v>
      </c>
      <c r="G2" s="879"/>
      <c r="H2" s="880" t="s">
        <v>117</v>
      </c>
      <c r="I2" s="881"/>
      <c r="J2" s="881"/>
      <c r="K2" s="881"/>
      <c r="L2" s="882"/>
    </row>
    <row r="3" spans="1:21" ht="30.75" customHeight="1">
      <c r="A3" s="875"/>
      <c r="B3" s="857"/>
      <c r="C3" s="859"/>
      <c r="D3" s="517" t="s">
        <v>4</v>
      </c>
      <c r="E3" s="223" t="s">
        <v>5</v>
      </c>
      <c r="F3" s="138" t="s">
        <v>6</v>
      </c>
      <c r="G3" s="182" t="s">
        <v>118</v>
      </c>
      <c r="H3" s="835"/>
      <c r="I3" s="836"/>
      <c r="J3" s="836"/>
      <c r="K3" s="836"/>
      <c r="L3" s="883"/>
    </row>
    <row r="4" spans="1:21" ht="16.5" customHeight="1">
      <c r="A4" s="860" t="s">
        <v>119</v>
      </c>
      <c r="B4" s="861"/>
      <c r="C4" s="862"/>
      <c r="D4" s="619">
        <f>SUM(D5:D7)</f>
        <v>565775447</v>
      </c>
      <c r="E4" s="620">
        <f>SUM(E5:E7)</f>
        <v>563675447</v>
      </c>
      <c r="F4" s="621">
        <f t="shared" ref="F4:F19" si="0">E4-D4</f>
        <v>-2100000</v>
      </c>
      <c r="G4" s="622">
        <f>F4/D4*100</f>
        <v>-0.37117199255202038</v>
      </c>
      <c r="H4" s="518"/>
      <c r="I4" s="519"/>
      <c r="J4" s="186"/>
      <c r="K4" s="186"/>
      <c r="L4" s="187"/>
      <c r="M4" s="469" t="e">
        <f>SUM(M5:M7)</f>
        <v>#REF!</v>
      </c>
      <c r="N4" s="178" t="s">
        <v>120</v>
      </c>
      <c r="T4" s="222"/>
      <c r="U4" s="222"/>
    </row>
    <row r="5" spans="1:21" ht="16.5" customHeight="1">
      <c r="A5" s="863" t="s">
        <v>121</v>
      </c>
      <c r="B5" s="864"/>
      <c r="C5" s="865"/>
      <c r="D5" s="623">
        <f>SUM(D9,D109,D163,D212)</f>
        <v>527675447</v>
      </c>
      <c r="E5" s="624">
        <f>SUM(E9,E109,E163,E212,E214)</f>
        <v>557675447</v>
      </c>
      <c r="F5" s="625">
        <f t="shared" si="0"/>
        <v>30000000</v>
      </c>
      <c r="G5" s="626">
        <f t="shared" ref="G5:G68" si="1">F5/D5*100</f>
        <v>5.6853128510260209</v>
      </c>
      <c r="H5" s="518"/>
      <c r="I5" s="397"/>
      <c r="J5" s="84"/>
      <c r="K5" s="7"/>
      <c r="M5" s="468" t="e">
        <f>SUM(M16,M20,M22,M24,M26,#REF!,#REF!,M28,#REF!,Q67,Q82,Q88,#REF!,Q99,Q104,Q166,Q176,N182,Q187,N190,Q191,N193,Q199,Q203,#REF!,Q207,Q212,Q32)</f>
        <v>#REF!</v>
      </c>
      <c r="N5" s="178" t="s">
        <v>122</v>
      </c>
    </row>
    <row r="6" spans="1:21" ht="16.5" customHeight="1">
      <c r="A6" s="866" t="s">
        <v>123</v>
      </c>
      <c r="B6" s="867"/>
      <c r="C6" s="868"/>
      <c r="D6" s="627">
        <f>SUM(D10,D110,D164,D214,D215)</f>
        <v>32100000</v>
      </c>
      <c r="E6" s="628">
        <f>SUM(E10,E110,E164)</f>
        <v>0</v>
      </c>
      <c r="F6" s="621">
        <f t="shared" si="0"/>
        <v>-32100000</v>
      </c>
      <c r="G6" s="629">
        <f t="shared" si="1"/>
        <v>-100</v>
      </c>
      <c r="H6" s="520"/>
      <c r="I6" s="397"/>
      <c r="J6" s="186"/>
      <c r="K6" s="189"/>
      <c r="L6" s="187"/>
      <c r="M6" s="468" t="e">
        <f>SUM(M17,Q22,M29,Q34,#REF!,N44,N52,N56,Q68,Q83,Q89,#REF!,Q100,Q105,M118,M121,M122,M123,M124,Q167,Q177,Q188,Q192,Q200,Q204,#REF!,Q209)</f>
        <v>#REF!</v>
      </c>
      <c r="N6" s="178" t="s">
        <v>124</v>
      </c>
    </row>
    <row r="7" spans="1:21" ht="16.5" customHeight="1">
      <c r="A7" s="869" t="s">
        <v>125</v>
      </c>
      <c r="B7" s="870"/>
      <c r="C7" s="871"/>
      <c r="D7" s="630">
        <f>SUM(D11,D111,D165)</f>
        <v>6000000</v>
      </c>
      <c r="E7" s="620">
        <f>SUM(E11,E111,E165)</f>
        <v>6000000</v>
      </c>
      <c r="F7" s="621">
        <f t="shared" si="0"/>
        <v>0</v>
      </c>
      <c r="G7" s="629">
        <f t="shared" si="1"/>
        <v>0</v>
      </c>
      <c r="H7" s="6"/>
      <c r="I7" s="7"/>
      <c r="J7" s="7"/>
      <c r="K7" s="516"/>
      <c r="M7" s="468" t="e">
        <f>SUM(M18,Q23,M30,Q35,#REF!,Q69,Q84,Q90,#REF!,Q101,Q106,M116,M117,Q169,Q178,Q189,Q193,Q201,Q205,#REF!,Q210,)</f>
        <v>#REF!</v>
      </c>
      <c r="N7" s="178" t="s">
        <v>126</v>
      </c>
    </row>
    <row r="8" spans="1:21" ht="16.5" customHeight="1">
      <c r="A8" s="631" t="s">
        <v>127</v>
      </c>
      <c r="B8" s="632"/>
      <c r="C8" s="633"/>
      <c r="D8" s="634">
        <f>SUM(D9:D11)</f>
        <v>237550470</v>
      </c>
      <c r="E8" s="628">
        <f>SUM(E9:E11)</f>
        <v>145308957</v>
      </c>
      <c r="F8" s="635">
        <f t="shared" si="0"/>
        <v>-92241513</v>
      </c>
      <c r="G8" s="636">
        <f t="shared" si="1"/>
        <v>-38.830280150571795</v>
      </c>
      <c r="H8" s="6"/>
      <c r="I8" s="7"/>
      <c r="J8" s="7"/>
      <c r="K8" s="8"/>
    </row>
    <row r="9" spans="1:21" ht="16.5" customHeight="1">
      <c r="A9" s="637"/>
      <c r="B9" s="638"/>
      <c r="C9" s="639" t="s">
        <v>122</v>
      </c>
      <c r="D9" s="640">
        <v>228440470</v>
      </c>
      <c r="E9" s="641">
        <f>SUM(E13,E42,E64)</f>
        <v>142308957</v>
      </c>
      <c r="F9" s="625">
        <f t="shared" si="0"/>
        <v>-86131513</v>
      </c>
      <c r="G9" s="642">
        <f t="shared" si="1"/>
        <v>-37.704139288454449</v>
      </c>
      <c r="H9" s="6"/>
      <c r="I9" s="7"/>
      <c r="J9" s="7"/>
      <c r="K9" s="8"/>
    </row>
    <row r="10" spans="1:21" ht="16.5" customHeight="1">
      <c r="A10" s="637"/>
      <c r="B10" s="638"/>
      <c r="C10" s="639" t="s">
        <v>124</v>
      </c>
      <c r="D10" s="640">
        <v>6100000</v>
      </c>
      <c r="E10" s="641">
        <f>SUM(E14,E43,E65)</f>
        <v>0</v>
      </c>
      <c r="F10" s="625">
        <f t="shared" si="0"/>
        <v>-6100000</v>
      </c>
      <c r="G10" s="642">
        <f t="shared" si="1"/>
        <v>-100</v>
      </c>
      <c r="H10" s="6"/>
      <c r="I10" s="7"/>
      <c r="J10" s="7"/>
      <c r="K10" s="8"/>
    </row>
    <row r="11" spans="1:21" ht="16.5" customHeight="1">
      <c r="A11" s="643"/>
      <c r="B11" s="644"/>
      <c r="C11" s="645" t="s">
        <v>126</v>
      </c>
      <c r="D11" s="646">
        <f>SUM(D15,D44,D66)</f>
        <v>3010000</v>
      </c>
      <c r="E11" s="646">
        <f>SUM(E15,E44,E66)</f>
        <v>3000000</v>
      </c>
      <c r="F11" s="625">
        <f t="shared" si="0"/>
        <v>-10000</v>
      </c>
      <c r="G11" s="647">
        <f t="shared" si="1"/>
        <v>-0.33222591362126247</v>
      </c>
      <c r="H11" s="6"/>
      <c r="I11" s="7"/>
      <c r="J11" s="7"/>
      <c r="K11" s="8"/>
    </row>
    <row r="12" spans="1:21" ht="16.5" customHeight="1">
      <c r="A12" s="643"/>
      <c r="B12" s="648" t="s">
        <v>128</v>
      </c>
      <c r="C12" s="649"/>
      <c r="D12" s="650">
        <f>SUM(D13:D15)</f>
        <v>220090470</v>
      </c>
      <c r="E12" s="651">
        <f>SUM(E13:E15)</f>
        <v>115085823</v>
      </c>
      <c r="F12" s="652">
        <f t="shared" si="0"/>
        <v>-105004647</v>
      </c>
      <c r="G12" s="636">
        <f t="shared" si="1"/>
        <v>-47.709765443274307</v>
      </c>
      <c r="H12" s="20"/>
      <c r="I12" s="21"/>
      <c r="J12" s="22"/>
      <c r="K12" s="21"/>
      <c r="L12" s="162"/>
      <c r="U12" s="470"/>
    </row>
    <row r="13" spans="1:21" ht="16.5" customHeight="1">
      <c r="A13" s="643"/>
      <c r="B13" s="638"/>
      <c r="C13" s="639" t="s">
        <v>122</v>
      </c>
      <c r="D13" s="653">
        <v>220090470</v>
      </c>
      <c r="E13" s="654">
        <f>SUM(E17,E21,E29,E33,E38)</f>
        <v>115085823</v>
      </c>
      <c r="F13" s="655">
        <f t="shared" si="0"/>
        <v>-105004647</v>
      </c>
      <c r="G13" s="642">
        <f t="shared" si="1"/>
        <v>-47.709765443274307</v>
      </c>
      <c r="H13" s="25"/>
      <c r="I13" s="7"/>
      <c r="J13" s="26"/>
      <c r="K13" s="27"/>
      <c r="M13" s="471"/>
      <c r="U13" s="470"/>
    </row>
    <row r="14" spans="1:21" ht="16.5" customHeight="1" thickBot="1">
      <c r="A14" s="643"/>
      <c r="B14" s="656"/>
      <c r="C14" s="639" t="s">
        <v>124</v>
      </c>
      <c r="D14" s="653">
        <v>0</v>
      </c>
      <c r="E14" s="654">
        <f>SUM(E18,E22,E30,E35,E39)</f>
        <v>0</v>
      </c>
      <c r="F14" s="655">
        <f t="shared" si="0"/>
        <v>0</v>
      </c>
      <c r="G14" s="642">
        <v>0</v>
      </c>
      <c r="H14" s="25"/>
      <c r="I14" s="7"/>
      <c r="J14" s="190"/>
      <c r="K14" s="7"/>
      <c r="U14" s="470"/>
    </row>
    <row r="15" spans="1:21" ht="16.5" customHeight="1" thickBot="1">
      <c r="A15" s="643"/>
      <c r="B15" s="638"/>
      <c r="C15" s="639" t="s">
        <v>126</v>
      </c>
      <c r="D15" s="657">
        <v>0</v>
      </c>
      <c r="E15" s="654">
        <f>SUM(E19,E23,E31,E36,E40)</f>
        <v>0</v>
      </c>
      <c r="F15" s="655">
        <f t="shared" si="0"/>
        <v>0</v>
      </c>
      <c r="G15" s="642">
        <v>0</v>
      </c>
      <c r="H15" s="25"/>
      <c r="I15" s="7"/>
      <c r="J15" s="191"/>
      <c r="K15" s="7"/>
      <c r="M15" s="472">
        <f>SUM(M16:M215)</f>
        <v>268841263</v>
      </c>
    </row>
    <row r="16" spans="1:21" ht="16.5" customHeight="1">
      <c r="A16" s="643"/>
      <c r="B16" s="638"/>
      <c r="C16" s="658" t="s">
        <v>129</v>
      </c>
      <c r="D16" s="659">
        <f>SUM(D17:D19)</f>
        <v>144165000</v>
      </c>
      <c r="E16" s="660">
        <f>SUM(E17:E19)</f>
        <v>83087440</v>
      </c>
      <c r="F16" s="661">
        <f t="shared" si="0"/>
        <v>-61077560</v>
      </c>
      <c r="G16" s="662">
        <f t="shared" si="1"/>
        <v>-42.36642735754171</v>
      </c>
      <c r="H16" s="192" t="s">
        <v>130</v>
      </c>
      <c r="I16" s="33" t="s">
        <v>131</v>
      </c>
      <c r="J16" s="193" t="s">
        <v>122</v>
      </c>
      <c r="K16" s="194"/>
      <c r="L16" s="163">
        <v>83087440</v>
      </c>
      <c r="M16" s="468">
        <f>L16</f>
        <v>83087440</v>
      </c>
      <c r="N16" s="222">
        <f>SUM(M16:M19)</f>
        <v>83087440</v>
      </c>
    </row>
    <row r="17" spans="1:20" ht="16.5" customHeight="1">
      <c r="A17" s="643"/>
      <c r="B17" s="638"/>
      <c r="C17" s="639" t="s">
        <v>132</v>
      </c>
      <c r="D17" s="663">
        <v>144165000</v>
      </c>
      <c r="E17" s="664">
        <v>83087440</v>
      </c>
      <c r="F17" s="655">
        <f t="shared" si="0"/>
        <v>-61077560</v>
      </c>
      <c r="G17" s="642">
        <f t="shared" si="1"/>
        <v>-42.36642735754171</v>
      </c>
      <c r="H17" s="195"/>
      <c r="I17" s="7"/>
      <c r="J17" s="196"/>
      <c r="K17" s="197"/>
      <c r="M17" s="468">
        <f>L17</f>
        <v>0</v>
      </c>
    </row>
    <row r="18" spans="1:20" ht="16.5" customHeight="1">
      <c r="A18" s="643"/>
      <c r="B18" s="638"/>
      <c r="C18" s="639" t="s">
        <v>124</v>
      </c>
      <c r="D18" s="663">
        <v>0</v>
      </c>
      <c r="E18" s="665">
        <f>L17</f>
        <v>0</v>
      </c>
      <c r="F18" s="655">
        <f t="shared" si="0"/>
        <v>0</v>
      </c>
      <c r="G18" s="642"/>
      <c r="H18" s="195"/>
      <c r="I18" s="7"/>
      <c r="J18" s="196"/>
      <c r="K18" s="197"/>
      <c r="L18" s="198"/>
      <c r="M18" s="468">
        <f>L18</f>
        <v>0</v>
      </c>
    </row>
    <row r="19" spans="1:20" ht="16.5" customHeight="1">
      <c r="A19" s="643"/>
      <c r="B19" s="638"/>
      <c r="C19" s="666" t="s">
        <v>126</v>
      </c>
      <c r="D19" s="667">
        <v>0</v>
      </c>
      <c r="E19" s="668">
        <f>L18</f>
        <v>0</v>
      </c>
      <c r="F19" s="669">
        <f t="shared" si="0"/>
        <v>0</v>
      </c>
      <c r="G19" s="670"/>
      <c r="H19" s="199"/>
      <c r="I19" s="40"/>
      <c r="J19" s="200"/>
      <c r="K19" s="201"/>
      <c r="L19" s="161"/>
      <c r="M19" s="473"/>
      <c r="N19" s="474"/>
      <c r="O19" s="474"/>
      <c r="P19" s="475"/>
      <c r="Q19" s="475"/>
      <c r="R19" s="474"/>
      <c r="S19" s="474"/>
    </row>
    <row r="20" spans="1:20" ht="16.5" customHeight="1">
      <c r="A20" s="671"/>
      <c r="B20" s="672"/>
      <c r="C20" s="673" t="s">
        <v>133</v>
      </c>
      <c r="D20" s="674">
        <f>SUM(D21:D23)</f>
        <v>41411740</v>
      </c>
      <c r="E20" s="675">
        <f>SUM(E21:E23)</f>
        <v>14218903</v>
      </c>
      <c r="F20" s="655">
        <f>E20-D20</f>
        <v>-27192837</v>
      </c>
      <c r="G20" s="662">
        <f t="shared" si="1"/>
        <v>-65.664560339652482</v>
      </c>
      <c r="H20" s="6" t="s">
        <v>134</v>
      </c>
      <c r="I20" s="7" t="s">
        <v>93</v>
      </c>
      <c r="J20" s="196"/>
      <c r="K20" s="373"/>
      <c r="L20" s="80">
        <v>7179000</v>
      </c>
      <c r="M20" s="468">
        <f t="shared" ref="M20:M27" si="2">L20</f>
        <v>7179000</v>
      </c>
      <c r="N20" s="222">
        <f>SUM(M20:M27)</f>
        <v>21397903</v>
      </c>
    </row>
    <row r="21" spans="1:20" ht="16.5" customHeight="1">
      <c r="A21" s="671"/>
      <c r="B21" s="672"/>
      <c r="C21" s="639" t="s">
        <v>122</v>
      </c>
      <c r="D21" s="663">
        <v>41411740</v>
      </c>
      <c r="E21" s="665">
        <v>14218903</v>
      </c>
      <c r="F21" s="655">
        <f>E21-D21</f>
        <v>-27192837</v>
      </c>
      <c r="G21" s="642">
        <f t="shared" si="1"/>
        <v>-65.664560339652482</v>
      </c>
      <c r="H21" s="6"/>
      <c r="I21" s="7"/>
      <c r="J21" s="196" t="s">
        <v>94</v>
      </c>
      <c r="K21" s="373" t="s">
        <v>135</v>
      </c>
      <c r="L21" s="80">
        <v>7179000</v>
      </c>
      <c r="M21" s="171">
        <f t="shared" si="2"/>
        <v>7179000</v>
      </c>
      <c r="P21" s="202" t="s">
        <v>122</v>
      </c>
      <c r="Q21" s="202" t="e">
        <f>SUM(M20,M22,M24,M26,#REF!,#REF!)</f>
        <v>#REF!</v>
      </c>
    </row>
    <row r="22" spans="1:20" ht="16.5" customHeight="1">
      <c r="A22" s="671"/>
      <c r="B22" s="672"/>
      <c r="C22" s="639" t="s">
        <v>124</v>
      </c>
      <c r="D22" s="625">
        <v>0</v>
      </c>
      <c r="E22" s="665">
        <v>0</v>
      </c>
      <c r="F22" s="655">
        <f>E22-D22</f>
        <v>0</v>
      </c>
      <c r="G22" s="642">
        <v>0</v>
      </c>
      <c r="H22" s="6"/>
      <c r="I22" s="7" t="s">
        <v>95</v>
      </c>
      <c r="J22" s="196" t="s">
        <v>94</v>
      </c>
      <c r="K22" s="153" t="s">
        <v>136</v>
      </c>
      <c r="L22" s="80">
        <v>57419</v>
      </c>
      <c r="M22" s="171">
        <f t="shared" si="2"/>
        <v>57419</v>
      </c>
      <c r="P22" s="202" t="s">
        <v>124</v>
      </c>
      <c r="Q22" s="202" t="e">
        <f>SUM(#REF!)</f>
        <v>#REF!</v>
      </c>
    </row>
    <row r="23" spans="1:20" ht="16.5" customHeight="1">
      <c r="A23" s="671"/>
      <c r="B23" s="672"/>
      <c r="C23" s="639" t="s">
        <v>137</v>
      </c>
      <c r="D23" s="625">
        <v>0</v>
      </c>
      <c r="E23" s="665">
        <v>0</v>
      </c>
      <c r="F23" s="655">
        <f>E23-D23</f>
        <v>0</v>
      </c>
      <c r="G23" s="642">
        <v>0</v>
      </c>
      <c r="H23" s="6"/>
      <c r="I23" s="7"/>
      <c r="J23" s="196"/>
      <c r="K23" s="153" t="s">
        <v>138</v>
      </c>
      <c r="L23" s="80">
        <v>626839</v>
      </c>
      <c r="M23" s="171">
        <f t="shared" si="2"/>
        <v>626839</v>
      </c>
      <c r="P23" s="202" t="s">
        <v>137</v>
      </c>
      <c r="Q23" s="202" t="e">
        <f>SUM(M21,M23,#REF!,#REF!,#REF!,#REF!)</f>
        <v>#REF!</v>
      </c>
    </row>
    <row r="24" spans="1:20" ht="16.5" customHeight="1">
      <c r="A24" s="671"/>
      <c r="B24" s="672"/>
      <c r="C24" s="676"/>
      <c r="D24" s="625"/>
      <c r="E24" s="641"/>
      <c r="F24" s="655"/>
      <c r="G24" s="677"/>
      <c r="H24" s="6"/>
      <c r="I24" s="7" t="s">
        <v>96</v>
      </c>
      <c r="J24" s="196" t="s">
        <v>94</v>
      </c>
      <c r="K24" s="153" t="s">
        <v>139</v>
      </c>
      <c r="L24" s="80">
        <v>3115485</v>
      </c>
      <c r="M24" s="171">
        <f t="shared" si="2"/>
        <v>3115485</v>
      </c>
      <c r="Q24" s="202" t="e">
        <f>SUM(Q21:Q23)</f>
        <v>#REF!</v>
      </c>
    </row>
    <row r="25" spans="1:20" ht="16.5" customHeight="1">
      <c r="A25" s="671"/>
      <c r="B25" s="672"/>
      <c r="C25" s="676"/>
      <c r="D25" s="625"/>
      <c r="E25" s="641"/>
      <c r="F25" s="655"/>
      <c r="G25" s="677"/>
      <c r="H25" s="6"/>
      <c r="I25" s="7" t="s">
        <v>140</v>
      </c>
      <c r="J25" s="196" t="s">
        <v>94</v>
      </c>
      <c r="K25" s="153" t="s">
        <v>141</v>
      </c>
      <c r="L25" s="80">
        <v>1000000</v>
      </c>
      <c r="M25" s="171">
        <f t="shared" si="2"/>
        <v>1000000</v>
      </c>
    </row>
    <row r="26" spans="1:20" ht="16.5" customHeight="1">
      <c r="A26" s="671"/>
      <c r="B26" s="672"/>
      <c r="C26" s="676"/>
      <c r="D26" s="625"/>
      <c r="E26" s="641"/>
      <c r="F26" s="655"/>
      <c r="G26" s="677"/>
      <c r="H26" s="6"/>
      <c r="I26" s="7" t="s">
        <v>97</v>
      </c>
      <c r="J26" s="196" t="s">
        <v>94</v>
      </c>
      <c r="K26" s="153"/>
      <c r="L26" s="80">
        <v>2240160</v>
      </c>
      <c r="M26" s="172">
        <f t="shared" si="2"/>
        <v>2240160</v>
      </c>
      <c r="T26" s="499"/>
    </row>
    <row r="27" spans="1:20" ht="16.5" customHeight="1">
      <c r="A27" s="678"/>
      <c r="B27" s="679"/>
      <c r="C27" s="680"/>
      <c r="D27" s="681"/>
      <c r="E27" s="569"/>
      <c r="F27" s="682"/>
      <c r="G27" s="683"/>
      <c r="H27" s="203"/>
      <c r="I27" s="204"/>
      <c r="J27" s="205"/>
      <c r="K27" s="206"/>
      <c r="L27" s="149"/>
      <c r="M27" s="473">
        <f t="shared" si="2"/>
        <v>0</v>
      </c>
      <c r="N27" s="474"/>
      <c r="O27" s="474"/>
      <c r="P27" s="475"/>
      <c r="Q27" s="475"/>
      <c r="R27" s="474"/>
      <c r="S27" s="474"/>
    </row>
    <row r="28" spans="1:20" ht="16.5" customHeight="1">
      <c r="A28" s="684"/>
      <c r="B28" s="685"/>
      <c r="C28" s="686" t="s">
        <v>142</v>
      </c>
      <c r="D28" s="650">
        <f>SUM(D29:D31)</f>
        <v>15464730</v>
      </c>
      <c r="E28" s="628">
        <f>SUM(E29:E31)</f>
        <v>8068130</v>
      </c>
      <c r="F28" s="652">
        <f t="shared" ref="F28:F38" si="3">E28-D28</f>
        <v>-7396600</v>
      </c>
      <c r="G28" s="687">
        <f t="shared" si="1"/>
        <v>-47.828833739741981</v>
      </c>
      <c r="H28" s="20" t="s">
        <v>143</v>
      </c>
      <c r="I28" s="21"/>
      <c r="J28" s="22" t="s">
        <v>122</v>
      </c>
      <c r="K28" s="500" t="s">
        <v>144</v>
      </c>
      <c r="L28" s="162">
        <v>8068130</v>
      </c>
      <c r="M28" s="468">
        <f>L28</f>
        <v>8068130</v>
      </c>
      <c r="N28" s="222">
        <f>SUM(M28:M30)</f>
        <v>8068130</v>
      </c>
      <c r="T28" s="499"/>
    </row>
    <row r="29" spans="1:20" ht="16.5" customHeight="1">
      <c r="A29" s="671"/>
      <c r="B29" s="688"/>
      <c r="C29" s="639" t="s">
        <v>132</v>
      </c>
      <c r="D29" s="625">
        <v>15464730</v>
      </c>
      <c r="E29" s="522">
        <v>8068130</v>
      </c>
      <c r="F29" s="655">
        <f t="shared" si="3"/>
        <v>-7396600</v>
      </c>
      <c r="G29" s="677">
        <f t="shared" si="1"/>
        <v>-47.828833739741981</v>
      </c>
      <c r="H29" s="25"/>
      <c r="I29" s="45"/>
      <c r="J29" s="196"/>
      <c r="K29" s="45"/>
      <c r="M29" s="468">
        <f>L29</f>
        <v>0</v>
      </c>
    </row>
    <row r="30" spans="1:20" ht="16.5" customHeight="1">
      <c r="A30" s="671"/>
      <c r="B30" s="688"/>
      <c r="C30" s="639" t="s">
        <v>145</v>
      </c>
      <c r="D30" s="625">
        <v>0</v>
      </c>
      <c r="E30" s="522">
        <v>0</v>
      </c>
      <c r="F30" s="655">
        <f t="shared" si="3"/>
        <v>0</v>
      </c>
      <c r="G30" s="677">
        <v>0</v>
      </c>
      <c r="H30" s="25"/>
      <c r="I30" s="45"/>
      <c r="J30" s="196"/>
      <c r="K30" s="45"/>
      <c r="M30" s="468">
        <f>L30</f>
        <v>0</v>
      </c>
    </row>
    <row r="31" spans="1:20" ht="16.5" customHeight="1">
      <c r="A31" s="671"/>
      <c r="B31" s="688"/>
      <c r="C31" s="639" t="s">
        <v>146</v>
      </c>
      <c r="D31" s="625">
        <v>0</v>
      </c>
      <c r="E31" s="522">
        <v>0</v>
      </c>
      <c r="F31" s="655">
        <f t="shared" si="3"/>
        <v>0</v>
      </c>
      <c r="G31" s="677">
        <v>0</v>
      </c>
      <c r="H31" s="199"/>
      <c r="I31" s="207"/>
      <c r="J31" s="200"/>
      <c r="K31" s="208"/>
      <c r="L31" s="161"/>
      <c r="M31" s="473"/>
      <c r="N31" s="474"/>
      <c r="O31" s="474"/>
      <c r="P31" s="475"/>
      <c r="Q31" s="475"/>
      <c r="R31" s="474"/>
      <c r="S31" s="474"/>
    </row>
    <row r="32" spans="1:20" ht="16.5" customHeight="1">
      <c r="A32" s="671"/>
      <c r="B32" s="688"/>
      <c r="C32" s="689" t="s">
        <v>147</v>
      </c>
      <c r="D32" s="690">
        <f>SUM(D33:D35)</f>
        <v>17768000</v>
      </c>
      <c r="E32" s="691">
        <f>SUM(E33:E35)</f>
        <v>8430350</v>
      </c>
      <c r="F32" s="661">
        <f t="shared" si="3"/>
        <v>-9337650</v>
      </c>
      <c r="G32" s="692">
        <f t="shared" si="1"/>
        <v>-52.55318550202611</v>
      </c>
      <c r="H32" s="25" t="s">
        <v>148</v>
      </c>
      <c r="I32" s="7" t="s">
        <v>149</v>
      </c>
      <c r="J32" s="26"/>
      <c r="K32" s="153" t="s">
        <v>150</v>
      </c>
      <c r="L32" s="209">
        <f>3141270-242440</f>
        <v>2898830</v>
      </c>
      <c r="M32" s="468">
        <f t="shared" ref="M32:M39" si="4">L32</f>
        <v>2898830</v>
      </c>
      <c r="N32" s="222">
        <f>SUM(M32:M36)</f>
        <v>8178370</v>
      </c>
      <c r="P32" s="202" t="s">
        <v>151</v>
      </c>
      <c r="Q32" s="202">
        <v>48193700</v>
      </c>
    </row>
    <row r="33" spans="1:20" ht="16.5" customHeight="1">
      <c r="A33" s="671"/>
      <c r="B33" s="688"/>
      <c r="C33" s="639" t="s">
        <v>151</v>
      </c>
      <c r="D33" s="625">
        <v>17768000</v>
      </c>
      <c r="E33" s="522">
        <v>8430350</v>
      </c>
      <c r="F33" s="655">
        <f>E33-D33</f>
        <v>-9337650</v>
      </c>
      <c r="G33" s="677">
        <f t="shared" si="1"/>
        <v>-52.55318550202611</v>
      </c>
      <c r="H33" s="25"/>
      <c r="I33" s="7" t="s">
        <v>152</v>
      </c>
      <c r="J33" s="26"/>
      <c r="K33" s="153" t="s">
        <v>153</v>
      </c>
      <c r="L33" s="198">
        <f>321980-70000</f>
        <v>251980</v>
      </c>
      <c r="N33" s="222"/>
    </row>
    <row r="34" spans="1:20" ht="16.5" customHeight="1">
      <c r="A34" s="671"/>
      <c r="B34" s="688"/>
      <c r="C34" s="639" t="s">
        <v>145</v>
      </c>
      <c r="D34" s="625">
        <v>0</v>
      </c>
      <c r="E34" s="522">
        <v>0</v>
      </c>
      <c r="F34" s="655">
        <f>E34-D34</f>
        <v>0</v>
      </c>
      <c r="G34" s="677">
        <v>0</v>
      </c>
      <c r="H34" s="25"/>
      <c r="I34" s="7" t="s">
        <v>154</v>
      </c>
      <c r="J34" s="26"/>
      <c r="K34" s="153" t="s">
        <v>155</v>
      </c>
      <c r="L34" s="198">
        <f>4238590-210000</f>
        <v>4028590</v>
      </c>
      <c r="M34" s="468">
        <f t="shared" si="4"/>
        <v>4028590</v>
      </c>
      <c r="P34" s="202" t="s">
        <v>145</v>
      </c>
      <c r="Q34" s="202">
        <v>0</v>
      </c>
    </row>
    <row r="35" spans="1:20" ht="16.5" customHeight="1">
      <c r="A35" s="671"/>
      <c r="B35" s="688"/>
      <c r="C35" s="639" t="s">
        <v>146</v>
      </c>
      <c r="D35" s="625">
        <v>0</v>
      </c>
      <c r="E35" s="522">
        <v>0</v>
      </c>
      <c r="F35" s="655">
        <f>E35-D35</f>
        <v>0</v>
      </c>
      <c r="G35" s="677">
        <v>0</v>
      </c>
      <c r="H35" s="25" t="s">
        <v>156</v>
      </c>
      <c r="I35" s="7" t="s">
        <v>157</v>
      </c>
      <c r="J35" s="26"/>
      <c r="K35" s="153" t="s">
        <v>158</v>
      </c>
      <c r="L35" s="198">
        <f>681940-210000</f>
        <v>471940</v>
      </c>
      <c r="M35" s="468">
        <f t="shared" si="4"/>
        <v>471940</v>
      </c>
      <c r="P35" s="202" t="s">
        <v>146</v>
      </c>
      <c r="Q35" s="202">
        <v>68456163</v>
      </c>
      <c r="T35" s="499"/>
    </row>
    <row r="36" spans="1:20" ht="16.5" customHeight="1">
      <c r="A36" s="671"/>
      <c r="B36" s="688"/>
      <c r="C36" s="666"/>
      <c r="D36" s="667"/>
      <c r="E36" s="571"/>
      <c r="F36" s="669"/>
      <c r="G36" s="693"/>
      <c r="H36" s="199"/>
      <c r="I36" s="40" t="s">
        <v>159</v>
      </c>
      <c r="J36" s="210"/>
      <c r="K36" s="498" t="s">
        <v>160</v>
      </c>
      <c r="L36" s="161">
        <f>989010-210000</f>
        <v>779010</v>
      </c>
      <c r="M36" s="473">
        <f t="shared" si="4"/>
        <v>779010</v>
      </c>
      <c r="N36" s="474"/>
      <c r="O36" s="474"/>
      <c r="P36" s="475"/>
      <c r="Q36" s="475"/>
      <c r="R36" s="474"/>
      <c r="S36" s="474"/>
      <c r="T36" s="499"/>
    </row>
    <row r="37" spans="1:20" ht="16.5" customHeight="1">
      <c r="A37" s="671"/>
      <c r="B37" s="694"/>
      <c r="C37" s="695" t="s">
        <v>161</v>
      </c>
      <c r="D37" s="696">
        <f>SUM(D38:D40)</f>
        <v>1281000</v>
      </c>
      <c r="E37" s="697">
        <f>SUM(L37:L40)</f>
        <v>1281000</v>
      </c>
      <c r="F37" s="655">
        <f t="shared" si="3"/>
        <v>0</v>
      </c>
      <c r="G37" s="677">
        <f t="shared" si="1"/>
        <v>0</v>
      </c>
      <c r="H37" s="25" t="s">
        <v>162</v>
      </c>
      <c r="I37" s="7" t="s">
        <v>163</v>
      </c>
      <c r="J37" s="196" t="s">
        <v>132</v>
      </c>
      <c r="K37" s="27" t="s">
        <v>164</v>
      </c>
      <c r="L37" s="80">
        <f>(137+(11*104))*1000</f>
        <v>1281000</v>
      </c>
      <c r="M37" s="468">
        <f t="shared" si="4"/>
        <v>1281000</v>
      </c>
      <c r="N37" s="222">
        <f>SUM(M37:M40)</f>
        <v>1281000</v>
      </c>
      <c r="T37" s="499"/>
    </row>
    <row r="38" spans="1:20" ht="16.5" customHeight="1">
      <c r="A38" s="671"/>
      <c r="B38" s="688"/>
      <c r="C38" s="639" t="s">
        <v>165</v>
      </c>
      <c r="D38" s="698">
        <v>1281000</v>
      </c>
      <c r="E38" s="522">
        <f>SUM(L37:L40)</f>
        <v>1281000</v>
      </c>
      <c r="F38" s="655">
        <f t="shared" si="3"/>
        <v>0</v>
      </c>
      <c r="G38" s="677">
        <f t="shared" si="1"/>
        <v>0</v>
      </c>
      <c r="H38" s="25"/>
      <c r="I38" s="219"/>
      <c r="J38" s="196"/>
      <c r="K38" s="212"/>
      <c r="M38" s="468">
        <f t="shared" si="4"/>
        <v>0</v>
      </c>
    </row>
    <row r="39" spans="1:20" ht="16.5" customHeight="1">
      <c r="A39" s="671"/>
      <c r="B39" s="688"/>
      <c r="C39" s="639" t="s">
        <v>166</v>
      </c>
      <c r="D39" s="698">
        <v>0</v>
      </c>
      <c r="E39" s="522">
        <v>0</v>
      </c>
      <c r="F39" s="655">
        <v>0</v>
      </c>
      <c r="G39" s="677">
        <v>0</v>
      </c>
      <c r="H39" s="25"/>
      <c r="I39" s="7"/>
      <c r="J39" s="26"/>
      <c r="K39" s="515"/>
      <c r="M39" s="468">
        <f t="shared" si="4"/>
        <v>0</v>
      </c>
    </row>
    <row r="40" spans="1:20" ht="16.5" customHeight="1">
      <c r="A40" s="671"/>
      <c r="B40" s="688"/>
      <c r="C40" s="666" t="s">
        <v>167</v>
      </c>
      <c r="D40" s="699">
        <v>0</v>
      </c>
      <c r="E40" s="571">
        <v>0</v>
      </c>
      <c r="F40" s="669">
        <v>0</v>
      </c>
      <c r="G40" s="693">
        <v>0</v>
      </c>
      <c r="H40" s="199"/>
      <c r="I40" s="40"/>
      <c r="J40" s="210"/>
      <c r="K40" s="211"/>
      <c r="L40" s="161"/>
      <c r="M40" s="473"/>
      <c r="N40" s="474"/>
      <c r="O40" s="474"/>
      <c r="P40" s="475"/>
      <c r="Q40" s="475"/>
      <c r="R40" s="474"/>
      <c r="S40" s="474"/>
    </row>
    <row r="41" spans="1:20" ht="16.5" customHeight="1">
      <c r="A41" s="700"/>
      <c r="B41" s="685" t="s">
        <v>168</v>
      </c>
      <c r="C41" s="701"/>
      <c r="D41" s="702">
        <f>SUM(D42:D44)</f>
        <v>2290000</v>
      </c>
      <c r="E41" s="703">
        <f>SUM(E42:E44)</f>
        <v>1632700</v>
      </c>
      <c r="F41" s="635">
        <f t="shared" ref="F41:F48" si="5">E41-D41</f>
        <v>-657300</v>
      </c>
      <c r="G41" s="636">
        <f t="shared" si="1"/>
        <v>-28.703056768558955</v>
      </c>
      <c r="H41" s="67" t="s">
        <v>169</v>
      </c>
      <c r="I41" s="68"/>
      <c r="J41" s="68"/>
      <c r="K41" s="21"/>
      <c r="L41" s="162"/>
    </row>
    <row r="42" spans="1:20" ht="16.5" customHeight="1">
      <c r="A42" s="704"/>
      <c r="B42" s="705"/>
      <c r="C42" s="706" t="s">
        <v>165</v>
      </c>
      <c r="D42" s="707">
        <f>SUM(D46,D53,D57)</f>
        <v>0</v>
      </c>
      <c r="E42" s="708">
        <f>SUM(E46,E53,E57)</f>
        <v>0</v>
      </c>
      <c r="F42" s="625">
        <f t="shared" si="5"/>
        <v>0</v>
      </c>
      <c r="G42" s="642">
        <v>0</v>
      </c>
      <c r="H42" s="73"/>
      <c r="I42" s="74"/>
      <c r="J42" s="75"/>
      <c r="K42" s="27"/>
    </row>
    <row r="43" spans="1:20" ht="16.5" customHeight="1">
      <c r="A43" s="704"/>
      <c r="B43" s="705"/>
      <c r="C43" s="706" t="s">
        <v>166</v>
      </c>
      <c r="D43" s="707"/>
      <c r="E43" s="708">
        <f>SUM(E47,E54,E58)</f>
        <v>0</v>
      </c>
      <c r="F43" s="625">
        <f t="shared" si="5"/>
        <v>0</v>
      </c>
      <c r="G43" s="642">
        <v>0</v>
      </c>
      <c r="H43" s="96"/>
      <c r="I43" s="74"/>
      <c r="J43" s="99"/>
      <c r="K43" s="7"/>
    </row>
    <row r="44" spans="1:20" ht="16.5" customHeight="1">
      <c r="A44" s="704"/>
      <c r="B44" s="705"/>
      <c r="C44" s="706" t="s">
        <v>167</v>
      </c>
      <c r="D44" s="708">
        <f>SUM(D48,D55,D59)</f>
        <v>2290000</v>
      </c>
      <c r="E44" s="708">
        <f>SUM(E48,E55,E59)</f>
        <v>1632700</v>
      </c>
      <c r="F44" s="625">
        <f t="shared" si="5"/>
        <v>-657300</v>
      </c>
      <c r="G44" s="642">
        <f t="shared" si="1"/>
        <v>-28.703056768558955</v>
      </c>
      <c r="H44" s="199"/>
      <c r="I44" s="40"/>
      <c r="J44" s="467"/>
      <c r="K44" s="211"/>
      <c r="L44" s="161"/>
      <c r="M44" s="468">
        <f>SUM(L44:L51)</f>
        <v>1190700</v>
      </c>
      <c r="N44" s="222">
        <f>SUM(M44:M51)</f>
        <v>1190700</v>
      </c>
      <c r="O44" s="178" t="s">
        <v>166</v>
      </c>
      <c r="Q44" s="202">
        <f>P44-N44</f>
        <v>-1190700</v>
      </c>
    </row>
    <row r="45" spans="1:20" ht="17.45" customHeight="1">
      <c r="A45" s="704"/>
      <c r="B45" s="688"/>
      <c r="C45" s="658" t="s">
        <v>170</v>
      </c>
      <c r="D45" s="709">
        <f>SUM(D46:D48)</f>
        <v>1750000</v>
      </c>
      <c r="E45" s="521">
        <f>SUM(L44:L51)</f>
        <v>1190700</v>
      </c>
      <c r="F45" s="661">
        <f t="shared" si="5"/>
        <v>-559300</v>
      </c>
      <c r="G45" s="692">
        <f t="shared" si="1"/>
        <v>-31.96</v>
      </c>
      <c r="H45" s="25" t="s">
        <v>171</v>
      </c>
      <c r="I45" s="7" t="s">
        <v>172</v>
      </c>
      <c r="J45" s="225"/>
      <c r="K45" s="515" t="s">
        <v>173</v>
      </c>
      <c r="L45" s="80">
        <v>280000</v>
      </c>
    </row>
    <row r="46" spans="1:20" ht="17.45" customHeight="1">
      <c r="A46" s="704"/>
      <c r="B46" s="694"/>
      <c r="C46" s="639" t="s">
        <v>165</v>
      </c>
      <c r="D46" s="698">
        <v>0</v>
      </c>
      <c r="E46" s="522"/>
      <c r="F46" s="625">
        <f t="shared" si="5"/>
        <v>0</v>
      </c>
      <c r="G46" s="642">
        <v>0</v>
      </c>
      <c r="H46" s="25"/>
      <c r="I46" s="27" t="s">
        <v>174</v>
      </c>
      <c r="J46" s="26"/>
      <c r="K46" s="226" t="s">
        <v>175</v>
      </c>
      <c r="L46" s="80">
        <v>472500</v>
      </c>
    </row>
    <row r="47" spans="1:20" ht="17.45" customHeight="1">
      <c r="A47" s="704"/>
      <c r="B47" s="688"/>
      <c r="C47" s="639" t="s">
        <v>166</v>
      </c>
      <c r="D47" s="698">
        <v>0</v>
      </c>
      <c r="E47" s="522">
        <v>0</v>
      </c>
      <c r="F47" s="625">
        <f t="shared" si="5"/>
        <v>0</v>
      </c>
      <c r="G47" s="642">
        <v>0</v>
      </c>
      <c r="H47" s="25"/>
      <c r="I47" s="7" t="s">
        <v>176</v>
      </c>
      <c r="J47" s="225"/>
      <c r="K47" s="515" t="s">
        <v>177</v>
      </c>
      <c r="L47" s="80">
        <v>158200</v>
      </c>
    </row>
    <row r="48" spans="1:20" ht="17.45" customHeight="1">
      <c r="A48" s="700"/>
      <c r="B48" s="688"/>
      <c r="C48" s="639" t="s">
        <v>126</v>
      </c>
      <c r="D48" s="698">
        <v>1750000</v>
      </c>
      <c r="E48" s="522">
        <f>SUM(L45:L49)</f>
        <v>1190700</v>
      </c>
      <c r="F48" s="625">
        <f t="shared" si="5"/>
        <v>-559300</v>
      </c>
      <c r="G48" s="642">
        <f t="shared" si="1"/>
        <v>-31.96</v>
      </c>
      <c r="H48" s="25"/>
      <c r="I48" s="523" t="s">
        <v>178</v>
      </c>
      <c r="J48" s="524"/>
      <c r="K48" s="525" t="s">
        <v>179</v>
      </c>
      <c r="L48" s="526">
        <f>70000*4</f>
        <v>280000</v>
      </c>
    </row>
    <row r="49" spans="1:19" ht="17.45" customHeight="1">
      <c r="A49" s="704"/>
      <c r="B49" s="688"/>
      <c r="C49" s="639"/>
      <c r="D49" s="698"/>
      <c r="E49" s="522"/>
      <c r="F49" s="625"/>
      <c r="G49" s="642"/>
      <c r="H49" s="25"/>
      <c r="I49" s="7"/>
      <c r="J49" s="225"/>
      <c r="K49" s="515"/>
    </row>
    <row r="50" spans="1:19" ht="17.45" customHeight="1">
      <c r="A50" s="704"/>
      <c r="B50" s="688"/>
      <c r="C50" s="639"/>
      <c r="D50" s="698"/>
      <c r="E50" s="522"/>
      <c r="F50" s="625"/>
      <c r="G50" s="642"/>
      <c r="H50" s="25"/>
      <c r="I50" s="7"/>
      <c r="J50" s="225"/>
      <c r="K50" s="515"/>
    </row>
    <row r="51" spans="1:19" ht="17.45" customHeight="1">
      <c r="A51" s="704"/>
      <c r="B51" s="688"/>
      <c r="C51" s="639"/>
      <c r="D51" s="698"/>
      <c r="E51" s="708"/>
      <c r="F51" s="710"/>
      <c r="G51" s="711"/>
      <c r="H51" s="25"/>
      <c r="I51" s="7"/>
      <c r="J51" s="225"/>
      <c r="K51" s="515"/>
      <c r="M51" s="473"/>
      <c r="N51" s="474"/>
      <c r="O51" s="474"/>
      <c r="P51" s="475"/>
      <c r="Q51" s="475"/>
      <c r="R51" s="474"/>
      <c r="S51" s="474"/>
    </row>
    <row r="52" spans="1:19" ht="17.45" customHeight="1">
      <c r="A52" s="704"/>
      <c r="B52" s="688"/>
      <c r="C52" s="658" t="s">
        <v>180</v>
      </c>
      <c r="D52" s="709">
        <f>SUM(D53:D55)</f>
        <v>240000</v>
      </c>
      <c r="E52" s="527">
        <f>SUM(L52:L55)</f>
        <v>240000</v>
      </c>
      <c r="F52" s="661">
        <f t="shared" ref="F52:F70" si="6">E52-D52</f>
        <v>0</v>
      </c>
      <c r="G52" s="692">
        <f t="shared" si="1"/>
        <v>0</v>
      </c>
      <c r="H52" s="227" t="s">
        <v>181</v>
      </c>
      <c r="I52" s="33" t="s">
        <v>182</v>
      </c>
      <c r="J52" s="497"/>
      <c r="K52" s="228" t="s">
        <v>183</v>
      </c>
      <c r="L52" s="163">
        <f>50000*2</f>
        <v>100000</v>
      </c>
      <c r="M52" s="468">
        <v>3000000</v>
      </c>
      <c r="N52" s="222">
        <f>SUM(M52:M55)</f>
        <v>3600000</v>
      </c>
      <c r="O52" s="178" t="s">
        <v>184</v>
      </c>
    </row>
    <row r="53" spans="1:19" ht="17.45" customHeight="1">
      <c r="A53" s="704"/>
      <c r="B53" s="688"/>
      <c r="C53" s="639" t="s">
        <v>132</v>
      </c>
      <c r="D53" s="698">
        <v>0</v>
      </c>
      <c r="E53" s="522">
        <v>0</v>
      </c>
      <c r="F53" s="625">
        <f t="shared" si="6"/>
        <v>0</v>
      </c>
      <c r="G53" s="642">
        <v>0</v>
      </c>
      <c r="H53" s="25"/>
      <c r="I53" s="7" t="s">
        <v>185</v>
      </c>
      <c r="J53" s="26"/>
      <c r="K53" s="515" t="s">
        <v>186</v>
      </c>
      <c r="L53" s="80">
        <v>48000</v>
      </c>
      <c r="M53" s="468">
        <v>600000</v>
      </c>
    </row>
    <row r="54" spans="1:19" ht="17.45" customHeight="1">
      <c r="A54" s="704"/>
      <c r="B54" s="688"/>
      <c r="C54" s="639" t="s">
        <v>184</v>
      </c>
      <c r="D54" s="698">
        <v>0</v>
      </c>
      <c r="E54" s="522">
        <v>0</v>
      </c>
      <c r="F54" s="625">
        <f t="shared" si="6"/>
        <v>0</v>
      </c>
      <c r="G54" s="642">
        <v>0</v>
      </c>
      <c r="H54" s="25"/>
      <c r="I54" s="7" t="s">
        <v>187</v>
      </c>
      <c r="J54" s="26"/>
      <c r="K54" s="515"/>
      <c r="L54" s="80">
        <v>52000</v>
      </c>
    </row>
    <row r="55" spans="1:19" ht="17.45" customHeight="1">
      <c r="A55" s="704"/>
      <c r="B55" s="688"/>
      <c r="C55" s="639" t="s">
        <v>137</v>
      </c>
      <c r="D55" s="698">
        <v>240000</v>
      </c>
      <c r="E55" s="522">
        <v>240000</v>
      </c>
      <c r="F55" s="625">
        <f t="shared" si="6"/>
        <v>0</v>
      </c>
      <c r="G55" s="642">
        <f t="shared" si="1"/>
        <v>0</v>
      </c>
      <c r="H55" s="199"/>
      <c r="I55" s="40" t="s">
        <v>188</v>
      </c>
      <c r="J55" s="210"/>
      <c r="K55" s="211"/>
      <c r="L55" s="161">
        <v>40000</v>
      </c>
    </row>
    <row r="56" spans="1:19" ht="17.45" customHeight="1">
      <c r="A56" s="704"/>
      <c r="B56" s="672"/>
      <c r="C56" s="658" t="s">
        <v>189</v>
      </c>
      <c r="D56" s="709">
        <f>SUM(D57:D62)</f>
        <v>300000</v>
      </c>
      <c r="E56" s="527">
        <f>SUM(L56:L62)</f>
        <v>202000</v>
      </c>
      <c r="F56" s="661">
        <f t="shared" si="6"/>
        <v>-98000</v>
      </c>
      <c r="G56" s="692">
        <f t="shared" si="1"/>
        <v>-32.666666666666664</v>
      </c>
      <c r="H56" s="84" t="s">
        <v>190</v>
      </c>
      <c r="I56" s="79" t="s">
        <v>191</v>
      </c>
      <c r="J56" s="79"/>
      <c r="K56" s="515" t="s">
        <v>192</v>
      </c>
      <c r="L56" s="80">
        <v>21000</v>
      </c>
      <c r="M56" s="220">
        <v>616000</v>
      </c>
      <c r="N56" s="476">
        <f>SUM(M56:M58)</f>
        <v>1624000</v>
      </c>
      <c r="O56" s="477" t="s">
        <v>184</v>
      </c>
      <c r="P56" s="478"/>
      <c r="Q56" s="478"/>
      <c r="R56" s="477"/>
      <c r="S56" s="477"/>
    </row>
    <row r="57" spans="1:19" ht="17.45" customHeight="1">
      <c r="A57" s="704"/>
      <c r="B57" s="672"/>
      <c r="C57" s="712" t="s">
        <v>132</v>
      </c>
      <c r="D57" s="713">
        <v>0</v>
      </c>
      <c r="E57" s="522">
        <v>0</v>
      </c>
      <c r="F57" s="625">
        <f t="shared" si="6"/>
        <v>0</v>
      </c>
      <c r="G57" s="642">
        <v>0</v>
      </c>
      <c r="H57" s="84"/>
      <c r="I57" s="79" t="s">
        <v>193</v>
      </c>
      <c r="J57" s="79"/>
      <c r="K57" s="515" t="s">
        <v>194</v>
      </c>
      <c r="L57" s="80">
        <v>66000</v>
      </c>
      <c r="M57" s="216">
        <v>1008000</v>
      </c>
      <c r="N57" s="79"/>
      <c r="O57" s="79"/>
      <c r="P57" s="221"/>
      <c r="Q57" s="221"/>
      <c r="R57" s="79"/>
      <c r="S57" s="79"/>
    </row>
    <row r="58" spans="1:19" ht="17.45" customHeight="1">
      <c r="A58" s="704"/>
      <c r="B58" s="672"/>
      <c r="C58" s="712" t="s">
        <v>184</v>
      </c>
      <c r="D58" s="698">
        <v>0</v>
      </c>
      <c r="E58" s="528">
        <v>0</v>
      </c>
      <c r="F58" s="640">
        <f t="shared" si="6"/>
        <v>0</v>
      </c>
      <c r="G58" s="677">
        <v>0</v>
      </c>
      <c r="H58" s="25"/>
      <c r="I58" s="79" t="s">
        <v>195</v>
      </c>
      <c r="J58" s="79"/>
      <c r="K58" s="515"/>
      <c r="L58" s="80">
        <f>20000</f>
        <v>20000</v>
      </c>
      <c r="M58" s="216"/>
      <c r="N58" s="79"/>
      <c r="O58" s="79"/>
      <c r="P58" s="221"/>
      <c r="Q58" s="221"/>
      <c r="R58" s="79"/>
      <c r="S58" s="79"/>
    </row>
    <row r="59" spans="1:19" ht="17.45" customHeight="1">
      <c r="A59" s="704"/>
      <c r="B59" s="672"/>
      <c r="C59" s="639" t="s">
        <v>137</v>
      </c>
      <c r="D59" s="713">
        <v>300000</v>
      </c>
      <c r="E59" s="522">
        <f>SUM(L56:L59)</f>
        <v>202000</v>
      </c>
      <c r="F59" s="625">
        <f t="shared" si="6"/>
        <v>-98000</v>
      </c>
      <c r="G59" s="642">
        <f t="shared" si="1"/>
        <v>-32.666666666666664</v>
      </c>
      <c r="H59" s="84"/>
      <c r="I59" s="79" t="s">
        <v>196</v>
      </c>
      <c r="J59" s="79"/>
      <c r="K59" s="515" t="s">
        <v>197</v>
      </c>
      <c r="L59" s="80">
        <v>95000</v>
      </c>
      <c r="M59" s="216"/>
      <c r="N59" s="79"/>
      <c r="O59" s="79"/>
      <c r="P59" s="221"/>
      <c r="Q59" s="221"/>
      <c r="R59" s="79"/>
      <c r="S59" s="79"/>
    </row>
    <row r="60" spans="1:19" ht="17.45" customHeight="1">
      <c r="A60" s="704"/>
      <c r="B60" s="672"/>
      <c r="C60" s="639"/>
      <c r="D60" s="713"/>
      <c r="E60" s="522"/>
      <c r="F60" s="625"/>
      <c r="G60" s="642"/>
      <c r="H60" s="84"/>
      <c r="I60" s="79"/>
      <c r="J60" s="79"/>
      <c r="K60" s="515"/>
      <c r="M60" s="216"/>
      <c r="N60" s="79"/>
      <c r="O60" s="79"/>
      <c r="P60" s="221"/>
      <c r="Q60" s="221"/>
      <c r="R60" s="79"/>
      <c r="S60" s="79"/>
    </row>
    <row r="61" spans="1:19" ht="17.45" customHeight="1">
      <c r="A61" s="704"/>
      <c r="B61" s="672"/>
      <c r="C61" s="639"/>
      <c r="D61" s="713"/>
      <c r="E61" s="522"/>
      <c r="F61" s="625"/>
      <c r="G61" s="642"/>
      <c r="H61" s="84"/>
      <c r="I61" s="79"/>
      <c r="J61" s="79"/>
      <c r="K61" s="515"/>
      <c r="M61" s="216"/>
      <c r="N61" s="79"/>
      <c r="O61" s="79"/>
      <c r="P61" s="221"/>
      <c r="Q61" s="221"/>
      <c r="R61" s="79"/>
      <c r="S61" s="79"/>
    </row>
    <row r="62" spans="1:19" ht="17.45" customHeight="1">
      <c r="A62" s="700"/>
      <c r="B62" s="679"/>
      <c r="C62" s="645"/>
      <c r="D62" s="714"/>
      <c r="E62" s="569"/>
      <c r="F62" s="715"/>
      <c r="G62" s="647"/>
      <c r="H62" s="230"/>
      <c r="I62" s="61"/>
      <c r="J62" s="62"/>
      <c r="K62" s="63"/>
      <c r="L62" s="149"/>
      <c r="M62" s="473"/>
      <c r="N62" s="474"/>
      <c r="O62" s="474"/>
      <c r="P62" s="475"/>
      <c r="Q62" s="475"/>
      <c r="R62" s="474"/>
      <c r="S62" s="474"/>
    </row>
    <row r="63" spans="1:19" ht="16.5" customHeight="1">
      <c r="A63" s="704"/>
      <c r="B63" s="716" t="s">
        <v>198</v>
      </c>
      <c r="C63" s="717"/>
      <c r="D63" s="718">
        <f>SUM(D64:D66)</f>
        <v>15170000</v>
      </c>
      <c r="E63" s="719">
        <f>SUM(E64:E66)</f>
        <v>28590434</v>
      </c>
      <c r="F63" s="625">
        <f t="shared" si="6"/>
        <v>13420434</v>
      </c>
      <c r="G63" s="642">
        <f t="shared" si="1"/>
        <v>88.46693473961767</v>
      </c>
      <c r="H63" s="20"/>
      <c r="I63" s="21"/>
      <c r="J63" s="22"/>
      <c r="K63" s="7"/>
      <c r="L63" s="162"/>
    </row>
    <row r="64" spans="1:19" ht="16.5" customHeight="1">
      <c r="A64" s="704"/>
      <c r="B64" s="705"/>
      <c r="C64" s="706" t="s">
        <v>165</v>
      </c>
      <c r="D64" s="720">
        <v>8350000</v>
      </c>
      <c r="E64" s="522">
        <f>SUM(E68,E83,E89,E96,E100,E105)</f>
        <v>27223134</v>
      </c>
      <c r="F64" s="625">
        <f t="shared" si="6"/>
        <v>18873134</v>
      </c>
      <c r="G64" s="642">
        <f t="shared" si="1"/>
        <v>226.02555688622755</v>
      </c>
      <c r="H64" s="73"/>
      <c r="I64" s="74"/>
      <c r="J64" s="75"/>
      <c r="K64" s="27"/>
      <c r="L64" s="164"/>
    </row>
    <row r="65" spans="1:20" ht="19.899999999999999" customHeight="1">
      <c r="A65" s="704"/>
      <c r="B65" s="705"/>
      <c r="C65" s="706" t="s">
        <v>166</v>
      </c>
      <c r="D65" s="720">
        <v>6100000</v>
      </c>
      <c r="E65" s="522">
        <f>SUM(E69,E84,E90,E101,E106)</f>
        <v>0</v>
      </c>
      <c r="F65" s="625">
        <f t="shared" si="6"/>
        <v>-6100000</v>
      </c>
      <c r="G65" s="642">
        <f t="shared" si="1"/>
        <v>-100</v>
      </c>
      <c r="H65" s="25"/>
      <c r="I65" s="7"/>
      <c r="J65" s="7"/>
      <c r="K65" s="7"/>
    </row>
    <row r="66" spans="1:20" ht="16.5" customHeight="1">
      <c r="A66" s="704"/>
      <c r="B66" s="705"/>
      <c r="C66" s="706" t="s">
        <v>167</v>
      </c>
      <c r="D66" s="720">
        <v>720000</v>
      </c>
      <c r="E66" s="571">
        <f>SUM(E70,E85,E91,E102,E107)</f>
        <v>1367300</v>
      </c>
      <c r="F66" s="625">
        <f t="shared" si="6"/>
        <v>647300</v>
      </c>
      <c r="G66" s="642">
        <f t="shared" si="1"/>
        <v>89.902777777777771</v>
      </c>
      <c r="H66" s="25"/>
      <c r="I66" s="7"/>
      <c r="J66" s="7"/>
      <c r="K66" s="7"/>
      <c r="M66" s="468">
        <f>SUM(L63:L66)</f>
        <v>0</v>
      </c>
    </row>
    <row r="67" spans="1:20" ht="16.5" customHeight="1">
      <c r="A67" s="704"/>
      <c r="B67" s="688"/>
      <c r="C67" s="658" t="s">
        <v>199</v>
      </c>
      <c r="D67" s="721">
        <f>SUM(D68:D70)</f>
        <v>8350000</v>
      </c>
      <c r="E67" s="521">
        <f>SUM(E68:E70)</f>
        <v>23044634</v>
      </c>
      <c r="F67" s="661">
        <f t="shared" si="6"/>
        <v>14694634</v>
      </c>
      <c r="G67" s="692">
        <f t="shared" si="1"/>
        <v>175.98364071856287</v>
      </c>
      <c r="H67" s="227" t="s">
        <v>200</v>
      </c>
      <c r="I67" s="177" t="s">
        <v>201</v>
      </c>
      <c r="J67" s="231"/>
      <c r="K67" s="232" t="s">
        <v>202</v>
      </c>
      <c r="L67" s="166">
        <v>88000</v>
      </c>
      <c r="M67" s="166">
        <v>27105100</v>
      </c>
      <c r="N67" s="476"/>
      <c r="O67" s="476">
        <f>SUM(M67:M81)</f>
        <v>55276900</v>
      </c>
      <c r="P67" s="478">
        <f>SUM(P68:P70)</f>
        <v>72687700</v>
      </c>
      <c r="Q67" s="478">
        <f>P67-O67</f>
        <v>17410800</v>
      </c>
      <c r="R67" s="478"/>
      <c r="S67" s="477"/>
    </row>
    <row r="68" spans="1:20" ht="16.5" customHeight="1">
      <c r="A68" s="704"/>
      <c r="B68" s="688"/>
      <c r="C68" s="639" t="s">
        <v>165</v>
      </c>
      <c r="D68" s="720">
        <v>8350000</v>
      </c>
      <c r="E68" s="722">
        <f>SUM(L67:L81)</f>
        <v>22044634</v>
      </c>
      <c r="F68" s="655">
        <f t="shared" si="6"/>
        <v>13694634</v>
      </c>
      <c r="G68" s="677">
        <f t="shared" si="1"/>
        <v>164.00759281437126</v>
      </c>
      <c r="H68" s="25"/>
      <c r="I68" s="89" t="s">
        <v>203</v>
      </c>
      <c r="J68" s="233"/>
      <c r="K68" s="234" t="s">
        <v>204</v>
      </c>
      <c r="L68" s="165">
        <v>1500000</v>
      </c>
      <c r="M68" s="165">
        <v>5960000</v>
      </c>
      <c r="N68" s="79"/>
      <c r="O68" s="79" t="s">
        <v>165</v>
      </c>
      <c r="P68" s="221">
        <v>58129700</v>
      </c>
      <c r="Q68" s="221"/>
      <c r="R68" s="221"/>
      <c r="S68" s="79"/>
    </row>
    <row r="69" spans="1:20" ht="16.5" customHeight="1">
      <c r="A69" s="704"/>
      <c r="B69" s="688"/>
      <c r="C69" s="639" t="s">
        <v>166</v>
      </c>
      <c r="D69" s="720">
        <v>0</v>
      </c>
      <c r="E69" s="522">
        <v>0</v>
      </c>
      <c r="F69" s="655">
        <f t="shared" si="6"/>
        <v>0</v>
      </c>
      <c r="G69" s="677">
        <v>0</v>
      </c>
      <c r="H69" s="25"/>
      <c r="I69" s="540" t="s">
        <v>205</v>
      </c>
      <c r="J69" s="541"/>
      <c r="K69" s="542" t="s">
        <v>206</v>
      </c>
      <c r="L69" s="543">
        <f>(1000000*5)</f>
        <v>5000000</v>
      </c>
      <c r="M69" s="165">
        <v>10444800</v>
      </c>
      <c r="N69" s="79"/>
      <c r="O69" s="79" t="s">
        <v>166</v>
      </c>
      <c r="P69" s="221">
        <v>9484000</v>
      </c>
      <c r="Q69" s="221"/>
      <c r="R69" s="221"/>
      <c r="S69" s="79"/>
    </row>
    <row r="70" spans="1:20" ht="16.5" customHeight="1">
      <c r="A70" s="704"/>
      <c r="B70" s="688"/>
      <c r="C70" s="639" t="s">
        <v>167</v>
      </c>
      <c r="D70" s="720">
        <v>0</v>
      </c>
      <c r="E70" s="522">
        <v>1000000</v>
      </c>
      <c r="F70" s="655">
        <f t="shared" si="6"/>
        <v>1000000</v>
      </c>
      <c r="G70" s="677">
        <v>0</v>
      </c>
      <c r="H70" s="82"/>
      <c r="I70" s="540" t="s">
        <v>207</v>
      </c>
      <c r="J70" s="541"/>
      <c r="K70" s="542" t="s">
        <v>206</v>
      </c>
      <c r="L70" s="543">
        <f>(1000000*5)</f>
        <v>5000000</v>
      </c>
      <c r="M70" s="165">
        <v>400000</v>
      </c>
      <c r="N70" s="79"/>
      <c r="O70" s="79" t="s">
        <v>167</v>
      </c>
      <c r="P70" s="221">
        <v>5074000</v>
      </c>
      <c r="Q70" s="221"/>
      <c r="R70" s="79"/>
      <c r="S70" s="79"/>
    </row>
    <row r="71" spans="1:20" ht="16.5" customHeight="1">
      <c r="A71" s="704"/>
      <c r="B71" s="688"/>
      <c r="C71" s="639"/>
      <c r="D71" s="720"/>
      <c r="E71" s="708"/>
      <c r="F71" s="710"/>
      <c r="G71" s="711"/>
      <c r="H71" s="82"/>
      <c r="I71" s="540" t="s">
        <v>208</v>
      </c>
      <c r="J71" s="541"/>
      <c r="K71" s="542" t="s">
        <v>209</v>
      </c>
      <c r="L71" s="543">
        <v>1000000</v>
      </c>
      <c r="M71" s="165">
        <v>500000</v>
      </c>
      <c r="N71" s="79"/>
      <c r="O71" s="79"/>
      <c r="P71" s="221"/>
      <c r="Q71" s="221"/>
      <c r="R71" s="79"/>
      <c r="S71" s="79"/>
    </row>
    <row r="72" spans="1:20" ht="16.5" customHeight="1">
      <c r="A72" s="704"/>
      <c r="B72" s="688"/>
      <c r="C72" s="639"/>
      <c r="D72" s="720"/>
      <c r="E72" s="708"/>
      <c r="F72" s="710"/>
      <c r="G72" s="711"/>
      <c r="H72" s="82"/>
      <c r="I72" s="540" t="s">
        <v>210</v>
      </c>
      <c r="J72" s="541"/>
      <c r="K72" s="542" t="s">
        <v>211</v>
      </c>
      <c r="L72" s="543">
        <v>300000</v>
      </c>
      <c r="M72" s="165"/>
      <c r="N72" s="79"/>
      <c r="O72" s="79"/>
      <c r="P72" s="221"/>
      <c r="Q72" s="221"/>
      <c r="R72" s="79"/>
      <c r="S72" s="79"/>
    </row>
    <row r="73" spans="1:20" ht="16.5" customHeight="1">
      <c r="A73" s="704"/>
      <c r="B73" s="688"/>
      <c r="C73" s="639"/>
      <c r="D73" s="720"/>
      <c r="E73" s="708"/>
      <c r="F73" s="710"/>
      <c r="G73" s="711"/>
      <c r="H73" s="82"/>
      <c r="I73" s="540" t="s">
        <v>212</v>
      </c>
      <c r="J73" s="541"/>
      <c r="K73" s="542" t="s">
        <v>213</v>
      </c>
      <c r="L73" s="543">
        <v>156500</v>
      </c>
      <c r="M73" s="165"/>
      <c r="N73" s="79"/>
      <c r="O73" s="79"/>
      <c r="P73" s="221"/>
      <c r="Q73" s="221"/>
      <c r="R73" s="79"/>
      <c r="S73" s="79"/>
    </row>
    <row r="74" spans="1:20" s="79" customFormat="1" ht="16.5" customHeight="1">
      <c r="A74" s="704"/>
      <c r="B74" s="688"/>
      <c r="C74" s="639"/>
      <c r="D74" s="720"/>
      <c r="E74" s="522"/>
      <c r="F74" s="710"/>
      <c r="G74" s="711"/>
      <c r="H74" s="82"/>
      <c r="I74" s="540" t="s">
        <v>214</v>
      </c>
      <c r="J74" s="541"/>
      <c r="K74" s="542"/>
      <c r="L74" s="543">
        <f>1524640+602974</f>
        <v>2127614</v>
      </c>
      <c r="M74" s="165">
        <v>600000</v>
      </c>
      <c r="P74" s="221"/>
      <c r="Q74" s="221"/>
    </row>
    <row r="75" spans="1:20" ht="16.5" customHeight="1">
      <c r="A75" s="704"/>
      <c r="B75" s="688"/>
      <c r="C75" s="639"/>
      <c r="D75" s="720"/>
      <c r="E75" s="522"/>
      <c r="F75" s="710"/>
      <c r="G75" s="711"/>
      <c r="H75" s="82"/>
      <c r="I75" s="540" t="s">
        <v>215</v>
      </c>
      <c r="J75" s="541"/>
      <c r="K75" s="542"/>
      <c r="L75" s="543">
        <v>1300000</v>
      </c>
      <c r="M75" s="165">
        <v>7867000</v>
      </c>
    </row>
    <row r="76" spans="1:20" ht="16.5" customHeight="1">
      <c r="A76" s="704"/>
      <c r="B76" s="688"/>
      <c r="C76" s="639"/>
      <c r="D76" s="720"/>
      <c r="E76" s="522"/>
      <c r="F76" s="710"/>
      <c r="G76" s="711"/>
      <c r="H76" s="82"/>
      <c r="I76" s="540" t="s">
        <v>216</v>
      </c>
      <c r="J76" s="541"/>
      <c r="K76" s="542"/>
      <c r="L76" s="543">
        <f>3398000+1000000-700000</f>
        <v>3698000</v>
      </c>
      <c r="M76" s="165"/>
    </row>
    <row r="77" spans="1:20" ht="16.5" customHeight="1">
      <c r="A77" s="704"/>
      <c r="B77" s="688"/>
      <c r="C77" s="639"/>
      <c r="D77" s="720"/>
      <c r="E77" s="522"/>
      <c r="F77" s="710"/>
      <c r="G77" s="711"/>
      <c r="H77" s="82"/>
      <c r="I77" s="540" t="s">
        <v>217</v>
      </c>
      <c r="J77" s="541"/>
      <c r="K77" s="542" t="s">
        <v>218</v>
      </c>
      <c r="L77" s="543">
        <v>1539000</v>
      </c>
      <c r="M77" s="165"/>
    </row>
    <row r="78" spans="1:20" ht="16.5" customHeight="1">
      <c r="A78" s="704"/>
      <c r="B78" s="688"/>
      <c r="C78" s="639"/>
      <c r="D78" s="720"/>
      <c r="E78" s="522"/>
      <c r="F78" s="710"/>
      <c r="G78" s="711"/>
      <c r="H78" s="82"/>
      <c r="I78" s="90" t="s">
        <v>219</v>
      </c>
      <c r="J78" s="723"/>
      <c r="K78" s="724"/>
      <c r="L78" s="165">
        <v>247500</v>
      </c>
      <c r="M78" s="165"/>
      <c r="T78" s="202"/>
    </row>
    <row r="79" spans="1:20" ht="16.5" customHeight="1">
      <c r="A79" s="704"/>
      <c r="B79" s="688"/>
      <c r="C79" s="639"/>
      <c r="D79" s="720"/>
      <c r="E79" s="522"/>
      <c r="F79" s="710"/>
      <c r="G79" s="711"/>
      <c r="H79" s="82"/>
      <c r="I79" s="90" t="s">
        <v>220</v>
      </c>
      <c r="J79" s="723"/>
      <c r="K79" s="724"/>
      <c r="L79" s="165">
        <v>88020</v>
      </c>
      <c r="M79" s="165"/>
      <c r="T79" s="202"/>
    </row>
    <row r="80" spans="1:20" ht="16.5" customHeight="1">
      <c r="A80" s="704"/>
      <c r="B80" s="688"/>
      <c r="C80" s="639"/>
      <c r="D80" s="720"/>
      <c r="E80" s="522"/>
      <c r="F80" s="710"/>
      <c r="G80" s="711"/>
      <c r="H80" s="82"/>
      <c r="I80" s="90"/>
      <c r="J80" s="723"/>
      <c r="K80" s="724"/>
      <c r="L80" s="165"/>
      <c r="M80" s="165"/>
      <c r="T80" s="202"/>
    </row>
    <row r="81" spans="1:19" ht="16.5" customHeight="1">
      <c r="A81" s="704"/>
      <c r="B81" s="688"/>
      <c r="C81" s="666"/>
      <c r="D81" s="725"/>
      <c r="E81" s="571"/>
      <c r="F81" s="726"/>
      <c r="G81" s="727"/>
      <c r="H81" s="235"/>
      <c r="I81" s="728"/>
      <c r="J81" s="729"/>
      <c r="K81" s="730"/>
      <c r="L81" s="731"/>
      <c r="M81" s="165">
        <v>2400000</v>
      </c>
    </row>
    <row r="82" spans="1:19" ht="16.5" customHeight="1">
      <c r="A82" s="704"/>
      <c r="B82" s="688"/>
      <c r="C82" s="673" t="s">
        <v>221</v>
      </c>
      <c r="D82" s="732">
        <f>SUM(D83:D85)</f>
        <v>5400000</v>
      </c>
      <c r="E82" s="719">
        <f>SUM(E83:E85)</f>
        <v>859800</v>
      </c>
      <c r="F82" s="655">
        <f>E82-D82</f>
        <v>-4540200</v>
      </c>
      <c r="G82" s="677">
        <f t="shared" ref="G82:G122" si="7">F82/D82*100</f>
        <v>-84.077777777777769</v>
      </c>
      <c r="H82" s="25" t="s">
        <v>222</v>
      </c>
      <c r="I82" s="84" t="s">
        <v>223</v>
      </c>
      <c r="J82" s="225"/>
      <c r="K82" s="515" t="s">
        <v>224</v>
      </c>
      <c r="L82" s="80">
        <v>150000</v>
      </c>
      <c r="N82" s="222"/>
      <c r="O82" s="222">
        <f>SUM(L82:L86)</f>
        <v>859800</v>
      </c>
      <c r="P82" s="202">
        <v>33792000</v>
      </c>
      <c r="Q82" s="202">
        <f>O82-P82</f>
        <v>-32932200</v>
      </c>
    </row>
    <row r="83" spans="1:19" ht="16.5" customHeight="1">
      <c r="A83" s="704"/>
      <c r="B83" s="705"/>
      <c r="C83" s="639" t="s">
        <v>132</v>
      </c>
      <c r="D83" s="720">
        <v>0</v>
      </c>
      <c r="E83" s="522">
        <f>SUM(L82:L85)</f>
        <v>859800</v>
      </c>
      <c r="F83" s="655">
        <f>E83-D83</f>
        <v>859800</v>
      </c>
      <c r="G83" s="677">
        <v>100</v>
      </c>
      <c r="H83" s="25"/>
      <c r="I83" s="84" t="s">
        <v>225</v>
      </c>
      <c r="J83" s="84"/>
      <c r="K83" s="45" t="s">
        <v>226</v>
      </c>
      <c r="L83" s="80">
        <v>400000</v>
      </c>
      <c r="O83" s="178" t="s">
        <v>132</v>
      </c>
      <c r="P83" s="202">
        <v>33792000</v>
      </c>
    </row>
    <row r="84" spans="1:19" ht="16.5" customHeight="1">
      <c r="A84" s="704"/>
      <c r="B84" s="705"/>
      <c r="C84" s="639" t="s">
        <v>184</v>
      </c>
      <c r="D84" s="720">
        <v>5400000</v>
      </c>
      <c r="E84" s="522">
        <v>0</v>
      </c>
      <c r="F84" s="655">
        <f>E84-D84</f>
        <v>-5400000</v>
      </c>
      <c r="G84" s="677">
        <f t="shared" si="7"/>
        <v>-100</v>
      </c>
      <c r="H84" s="25"/>
      <c r="I84" s="84" t="s">
        <v>227</v>
      </c>
      <c r="J84" s="84"/>
      <c r="K84" s="515" t="s">
        <v>228</v>
      </c>
      <c r="L84" s="80">
        <v>200000</v>
      </c>
      <c r="O84" s="178" t="s">
        <v>184</v>
      </c>
    </row>
    <row r="85" spans="1:19" ht="16.5" customHeight="1">
      <c r="A85" s="704"/>
      <c r="B85" s="705"/>
      <c r="C85" s="639" t="s">
        <v>137</v>
      </c>
      <c r="D85" s="698">
        <v>0</v>
      </c>
      <c r="E85" s="522">
        <v>0</v>
      </c>
      <c r="F85" s="655">
        <f>E85-D85</f>
        <v>0</v>
      </c>
      <c r="G85" s="677">
        <v>0</v>
      </c>
      <c r="H85" s="25"/>
      <c r="I85" s="84" t="s">
        <v>229</v>
      </c>
      <c r="J85" s="84"/>
      <c r="K85" s="45" t="s">
        <v>230</v>
      </c>
      <c r="L85" s="80">
        <f>54900*2</f>
        <v>109800</v>
      </c>
      <c r="O85" s="178" t="s">
        <v>167</v>
      </c>
    </row>
    <row r="86" spans="1:19" ht="16.5" customHeight="1">
      <c r="A86" s="733"/>
      <c r="B86" s="705"/>
      <c r="C86" s="639"/>
      <c r="D86" s="698"/>
      <c r="E86" s="522"/>
      <c r="F86" s="710"/>
      <c r="G86" s="711"/>
      <c r="H86" s="480"/>
      <c r="I86" s="734"/>
      <c r="J86" s="735"/>
      <c r="K86" s="736"/>
    </row>
    <row r="87" spans="1:19" ht="16.5" customHeight="1">
      <c r="A87" s="737"/>
      <c r="B87" s="705"/>
      <c r="C87" s="695"/>
      <c r="D87" s="698"/>
      <c r="E87" s="522"/>
      <c r="F87" s="710"/>
      <c r="G87" s="711"/>
      <c r="H87" s="25"/>
      <c r="I87" s="84"/>
      <c r="J87" s="84"/>
      <c r="K87" s="736"/>
      <c r="M87" s="473"/>
      <c r="N87" s="474"/>
      <c r="O87" s="474"/>
      <c r="P87" s="475"/>
      <c r="Q87" s="475"/>
      <c r="R87" s="474"/>
      <c r="S87" s="474"/>
    </row>
    <row r="88" spans="1:19" ht="16.5" customHeight="1">
      <c r="A88" s="737"/>
      <c r="B88" s="705"/>
      <c r="C88" s="658" t="s">
        <v>231</v>
      </c>
      <c r="D88" s="721">
        <f>SUM(D89:D91)</f>
        <v>500000</v>
      </c>
      <c r="E88" s="567">
        <f>SUM(E89:E91)</f>
        <v>2390000</v>
      </c>
      <c r="F88" s="661">
        <f>E88-D88</f>
        <v>1890000</v>
      </c>
      <c r="G88" s="692">
        <f t="shared" si="7"/>
        <v>378</v>
      </c>
      <c r="H88" s="236" t="s">
        <v>232</v>
      </c>
      <c r="I88" s="738" t="s">
        <v>233</v>
      </c>
      <c r="J88" s="738"/>
      <c r="K88" s="228" t="s">
        <v>234</v>
      </c>
      <c r="L88" s="163">
        <v>100000</v>
      </c>
      <c r="M88" s="468">
        <f>SUM(L88:L94)</f>
        <v>2390000</v>
      </c>
      <c r="N88" s="222"/>
      <c r="O88" s="177" t="s">
        <v>235</v>
      </c>
      <c r="P88" s="202">
        <v>8078000</v>
      </c>
    </row>
    <row r="89" spans="1:19" ht="16.5" customHeight="1">
      <c r="A89" s="739"/>
      <c r="B89" s="705"/>
      <c r="C89" s="639" t="s">
        <v>165</v>
      </c>
      <c r="D89" s="720">
        <v>0</v>
      </c>
      <c r="E89" s="522">
        <f>SUM(L88,L89,L92)</f>
        <v>2100000</v>
      </c>
      <c r="F89" s="655">
        <f>E89-D89</f>
        <v>2100000</v>
      </c>
      <c r="G89" s="677">
        <v>100</v>
      </c>
      <c r="H89" s="25"/>
      <c r="I89" s="401" t="s">
        <v>236</v>
      </c>
      <c r="J89" s="401"/>
      <c r="K89" s="740" t="s">
        <v>237</v>
      </c>
      <c r="L89" s="526">
        <v>200000</v>
      </c>
      <c r="O89" s="89" t="s">
        <v>238</v>
      </c>
      <c r="P89" s="202">
        <v>6640000</v>
      </c>
    </row>
    <row r="90" spans="1:19" ht="16.5" customHeight="1">
      <c r="A90" s="739"/>
      <c r="B90" s="705"/>
      <c r="C90" s="639" t="s">
        <v>166</v>
      </c>
      <c r="D90" s="720">
        <v>500000</v>
      </c>
      <c r="E90" s="539">
        <v>0</v>
      </c>
      <c r="F90" s="655">
        <f>E90-D90</f>
        <v>-500000</v>
      </c>
      <c r="G90" s="677">
        <f t="shared" si="7"/>
        <v>-100</v>
      </c>
      <c r="H90" s="25"/>
      <c r="I90" s="7" t="s">
        <v>239</v>
      </c>
      <c r="J90" s="7"/>
      <c r="K90" s="515" t="s">
        <v>240</v>
      </c>
      <c r="L90" s="80">
        <v>50000</v>
      </c>
      <c r="O90" s="89" t="s">
        <v>241</v>
      </c>
      <c r="P90" s="202">
        <v>0</v>
      </c>
    </row>
    <row r="91" spans="1:19" ht="16.5" customHeight="1">
      <c r="A91" s="739"/>
      <c r="B91" s="705"/>
      <c r="C91" s="639" t="s">
        <v>167</v>
      </c>
      <c r="D91" s="720">
        <v>0</v>
      </c>
      <c r="E91" s="539">
        <f>SUM(L90:L91)</f>
        <v>290000</v>
      </c>
      <c r="F91" s="655">
        <f>E91-D91</f>
        <v>290000</v>
      </c>
      <c r="G91" s="677">
        <v>100</v>
      </c>
      <c r="H91" s="25"/>
      <c r="I91" s="84" t="s">
        <v>242</v>
      </c>
      <c r="J91" s="872" t="s">
        <v>243</v>
      </c>
      <c r="K91" s="872"/>
      <c r="L91" s="80">
        <v>240000</v>
      </c>
      <c r="O91" s="89"/>
      <c r="P91" s="202">
        <f>SUM(P88:P90)</f>
        <v>14718000</v>
      </c>
    </row>
    <row r="92" spans="1:19" ht="16.5" customHeight="1">
      <c r="A92" s="739"/>
      <c r="B92" s="705"/>
      <c r="C92" s="639"/>
      <c r="D92" s="720"/>
      <c r="E92" s="566"/>
      <c r="F92" s="710"/>
      <c r="G92" s="711"/>
      <c r="H92" s="25"/>
      <c r="I92" s="734" t="s">
        <v>244</v>
      </c>
      <c r="J92" s="79"/>
      <c r="K92" s="8"/>
      <c r="L92" s="80">
        <v>1800000</v>
      </c>
      <c r="O92" s="90"/>
    </row>
    <row r="93" spans="1:19" ht="16.5" customHeight="1">
      <c r="A93" s="739"/>
      <c r="B93" s="705"/>
      <c r="C93" s="695"/>
      <c r="D93" s="720"/>
      <c r="E93" s="539"/>
      <c r="F93" s="710"/>
      <c r="G93" s="711"/>
      <c r="H93" s="84"/>
      <c r="I93" s="734"/>
      <c r="J93" s="79"/>
      <c r="K93" s="8"/>
      <c r="O93" s="89"/>
    </row>
    <row r="94" spans="1:19" ht="16.5" customHeight="1">
      <c r="A94" s="739"/>
      <c r="B94" s="705"/>
      <c r="C94" s="695"/>
      <c r="D94" s="720"/>
      <c r="E94" s="539"/>
      <c r="F94" s="726"/>
      <c r="G94" s="727"/>
      <c r="H94" s="529"/>
      <c r="I94" s="208"/>
      <c r="J94" s="208"/>
      <c r="K94" s="741"/>
      <c r="L94" s="161"/>
      <c r="M94" s="216"/>
      <c r="N94" s="79"/>
      <c r="O94" s="90"/>
      <c r="P94" s="221"/>
      <c r="Q94" s="221"/>
      <c r="R94" s="79"/>
      <c r="S94" s="79"/>
    </row>
    <row r="95" spans="1:19" ht="16.5" customHeight="1">
      <c r="A95" s="739"/>
      <c r="B95" s="705"/>
      <c r="C95" s="658" t="s">
        <v>245</v>
      </c>
      <c r="D95" s="721">
        <f>SUM(D96:D98)</f>
        <v>0</v>
      </c>
      <c r="E95" s="567">
        <f>SUM(E96:E98)</f>
        <v>800000</v>
      </c>
      <c r="F95" s="655">
        <f>E95-D95</f>
        <v>800000</v>
      </c>
      <c r="G95" s="677">
        <v>100</v>
      </c>
      <c r="H95" s="84" t="s">
        <v>246</v>
      </c>
      <c r="I95" s="734" t="s">
        <v>247</v>
      </c>
      <c r="J95" s="734"/>
      <c r="K95" s="736" t="s">
        <v>248</v>
      </c>
      <c r="L95" s="80">
        <v>300000</v>
      </c>
      <c r="M95" s="216"/>
      <c r="N95" s="79"/>
      <c r="O95" s="90"/>
      <c r="P95" s="221"/>
      <c r="Q95" s="221"/>
      <c r="R95" s="79"/>
      <c r="S95" s="79"/>
    </row>
    <row r="96" spans="1:19" ht="16.5" customHeight="1">
      <c r="A96" s="739"/>
      <c r="B96" s="705"/>
      <c r="C96" s="639" t="s">
        <v>165</v>
      </c>
      <c r="D96" s="720">
        <v>0</v>
      </c>
      <c r="E96" s="522">
        <f>L95+L96</f>
        <v>800000</v>
      </c>
      <c r="F96" s="655">
        <f>E96-D96</f>
        <v>800000</v>
      </c>
      <c r="G96" s="677">
        <v>100</v>
      </c>
      <c r="H96" s="84"/>
      <c r="I96" s="734" t="s">
        <v>249</v>
      </c>
      <c r="J96" s="734"/>
      <c r="K96" s="736"/>
      <c r="L96" s="80">
        <v>500000</v>
      </c>
      <c r="M96" s="216"/>
      <c r="N96" s="79"/>
      <c r="O96" s="90"/>
      <c r="P96" s="221"/>
      <c r="Q96" s="221"/>
      <c r="R96" s="79"/>
      <c r="S96" s="79"/>
    </row>
    <row r="97" spans="1:20" ht="16.5" customHeight="1">
      <c r="A97" s="739"/>
      <c r="B97" s="705"/>
      <c r="C97" s="639" t="s">
        <v>166</v>
      </c>
      <c r="D97" s="720">
        <v>0</v>
      </c>
      <c r="E97" s="539">
        <v>0</v>
      </c>
      <c r="F97" s="655">
        <f>E97-D97</f>
        <v>0</v>
      </c>
      <c r="G97" s="677">
        <v>0</v>
      </c>
      <c r="H97" s="84"/>
      <c r="I97" s="734"/>
      <c r="J97" s="734"/>
      <c r="K97" s="736"/>
      <c r="M97" s="216"/>
      <c r="N97" s="79"/>
      <c r="O97" s="90"/>
      <c r="P97" s="221"/>
      <c r="Q97" s="221"/>
      <c r="R97" s="79"/>
      <c r="S97" s="79"/>
    </row>
    <row r="98" spans="1:20" ht="16.5" customHeight="1">
      <c r="A98" s="739"/>
      <c r="B98" s="705"/>
      <c r="C98" s="639" t="s">
        <v>167</v>
      </c>
      <c r="D98" s="720">
        <v>0</v>
      </c>
      <c r="E98" s="539">
        <v>0</v>
      </c>
      <c r="F98" s="655">
        <f>E98-D98</f>
        <v>0</v>
      </c>
      <c r="G98" s="677">
        <v>0</v>
      </c>
      <c r="H98" s="84"/>
      <c r="I98" s="734"/>
      <c r="J98" s="734"/>
      <c r="K98" s="736"/>
      <c r="M98" s="216"/>
      <c r="N98" s="79"/>
      <c r="O98" s="90"/>
      <c r="P98" s="221"/>
      <c r="Q98" s="221"/>
      <c r="R98" s="79"/>
      <c r="S98" s="79"/>
    </row>
    <row r="99" spans="1:20" ht="16.5" customHeight="1">
      <c r="A99" s="739"/>
      <c r="B99" s="705"/>
      <c r="C99" s="742" t="s">
        <v>250</v>
      </c>
      <c r="D99" s="721">
        <f>SUM(D100:D102)</f>
        <v>200000</v>
      </c>
      <c r="E99" s="568">
        <f>SUM(E100:E102)</f>
        <v>632000</v>
      </c>
      <c r="F99" s="661">
        <f t="shared" ref="F99:F102" si="8">E99-D99</f>
        <v>432000</v>
      </c>
      <c r="G99" s="692">
        <f t="shared" si="7"/>
        <v>216</v>
      </c>
      <c r="H99" s="229" t="s">
        <v>251</v>
      </c>
      <c r="I99" s="229" t="s">
        <v>252</v>
      </c>
      <c r="J99" s="229"/>
      <c r="K99" s="228" t="s">
        <v>253</v>
      </c>
      <c r="L99" s="163">
        <v>100000</v>
      </c>
      <c r="M99" s="468">
        <f>SUM(L99:L100)</f>
        <v>132000</v>
      </c>
      <c r="N99" s="222"/>
    </row>
    <row r="100" spans="1:20" ht="16.5" customHeight="1">
      <c r="A100" s="739"/>
      <c r="B100" s="743"/>
      <c r="C100" s="744" t="s">
        <v>132</v>
      </c>
      <c r="D100" s="720">
        <v>0</v>
      </c>
      <c r="E100" s="522">
        <f>L99+L100+L101</f>
        <v>632000</v>
      </c>
      <c r="F100" s="655">
        <f t="shared" si="8"/>
        <v>632000</v>
      </c>
      <c r="G100" s="745">
        <v>100</v>
      </c>
      <c r="H100" s="238"/>
      <c r="I100" s="238" t="s">
        <v>254</v>
      </c>
      <c r="J100" s="238"/>
      <c r="K100" s="228" t="s">
        <v>255</v>
      </c>
      <c r="L100" s="165">
        <v>32000</v>
      </c>
    </row>
    <row r="101" spans="1:20" ht="16.5" customHeight="1">
      <c r="A101" s="739"/>
      <c r="B101" s="743"/>
      <c r="C101" s="744" t="s">
        <v>184</v>
      </c>
      <c r="D101" s="720">
        <v>200000</v>
      </c>
      <c r="E101" s="522">
        <v>0</v>
      </c>
      <c r="F101" s="655">
        <f t="shared" si="8"/>
        <v>-200000</v>
      </c>
      <c r="G101" s="745">
        <f t="shared" si="7"/>
        <v>-100</v>
      </c>
      <c r="H101" s="237"/>
      <c r="I101" s="238" t="s">
        <v>256</v>
      </c>
      <c r="J101" s="238"/>
      <c r="K101" s="228" t="s">
        <v>257</v>
      </c>
      <c r="L101" s="165">
        <v>500000</v>
      </c>
    </row>
    <row r="102" spans="1:20" ht="16.5" customHeight="1">
      <c r="A102" s="739"/>
      <c r="B102" s="743"/>
      <c r="C102" s="639" t="s">
        <v>137</v>
      </c>
      <c r="D102" s="720">
        <v>0</v>
      </c>
      <c r="E102" s="522">
        <v>0</v>
      </c>
      <c r="F102" s="655">
        <f t="shared" si="8"/>
        <v>0</v>
      </c>
      <c r="G102" s="745">
        <v>0</v>
      </c>
      <c r="H102" s="238"/>
      <c r="M102" s="473"/>
      <c r="N102" s="474"/>
      <c r="O102" s="474"/>
      <c r="P102" s="475"/>
      <c r="Q102" s="475"/>
      <c r="R102" s="474"/>
      <c r="S102" s="474"/>
    </row>
    <row r="103" spans="1:20" ht="16.5" customHeight="1">
      <c r="A103" s="739"/>
      <c r="B103" s="743"/>
      <c r="C103" s="639"/>
      <c r="D103" s="720"/>
      <c r="E103" s="539"/>
      <c r="F103" s="655"/>
      <c r="G103" s="745"/>
      <c r="H103" s="238"/>
      <c r="M103" s="216"/>
      <c r="N103" s="79"/>
      <c r="O103" s="79"/>
      <c r="P103" s="221"/>
      <c r="Q103" s="221"/>
      <c r="R103" s="79"/>
      <c r="S103" s="79"/>
    </row>
    <row r="104" spans="1:20" ht="16.5" customHeight="1">
      <c r="A104" s="739"/>
      <c r="B104" s="705"/>
      <c r="C104" s="689" t="s">
        <v>258</v>
      </c>
      <c r="D104" s="721">
        <f>SUM(D105:D107)</f>
        <v>720000</v>
      </c>
      <c r="E104" s="567">
        <f>SUM(E105:E107)</f>
        <v>864000</v>
      </c>
      <c r="F104" s="661">
        <f>E104-D104</f>
        <v>144000</v>
      </c>
      <c r="G104" s="746">
        <f t="shared" si="7"/>
        <v>20</v>
      </c>
      <c r="H104" s="227" t="s">
        <v>259</v>
      </c>
      <c r="I104" s="229" t="s">
        <v>260</v>
      </c>
      <c r="J104" s="229"/>
      <c r="K104" s="228" t="s">
        <v>261</v>
      </c>
      <c r="L104" s="827">
        <f>8000*9*8*1.5</f>
        <v>864000</v>
      </c>
      <c r="M104" s="468">
        <f>SUM(L104:L107)</f>
        <v>864000</v>
      </c>
    </row>
    <row r="105" spans="1:20" ht="16.5" customHeight="1">
      <c r="A105" s="739"/>
      <c r="B105" s="705"/>
      <c r="C105" s="706" t="s">
        <v>132</v>
      </c>
      <c r="D105" s="720">
        <v>0</v>
      </c>
      <c r="E105" s="522">
        <v>786700</v>
      </c>
      <c r="F105" s="655">
        <f>E105-D105</f>
        <v>786700</v>
      </c>
      <c r="G105" s="677">
        <v>100</v>
      </c>
      <c r="H105" s="237"/>
      <c r="I105" s="238"/>
      <c r="J105" s="238"/>
      <c r="K105" s="724"/>
      <c r="L105" s="165"/>
    </row>
    <row r="106" spans="1:20" ht="16.5" customHeight="1">
      <c r="A106" s="739"/>
      <c r="B106" s="705"/>
      <c r="C106" s="706" t="s">
        <v>184</v>
      </c>
      <c r="D106" s="720">
        <v>0</v>
      </c>
      <c r="E106" s="522">
        <v>0</v>
      </c>
      <c r="F106" s="655">
        <f>E106-D106</f>
        <v>0</v>
      </c>
      <c r="G106" s="677">
        <v>0</v>
      </c>
      <c r="H106" s="237"/>
      <c r="I106" s="238"/>
      <c r="J106" s="238"/>
      <c r="K106" s="724"/>
      <c r="L106" s="165"/>
    </row>
    <row r="107" spans="1:20" ht="16.5" customHeight="1">
      <c r="A107" s="747"/>
      <c r="B107" s="748"/>
      <c r="C107" s="645" t="s">
        <v>137</v>
      </c>
      <c r="D107" s="720">
        <v>720000</v>
      </c>
      <c r="E107" s="569">
        <v>77300</v>
      </c>
      <c r="F107" s="749">
        <f>E107-D107</f>
        <v>-642700</v>
      </c>
      <c r="G107" s="750">
        <f t="shared" si="7"/>
        <v>-89.263888888888886</v>
      </c>
      <c r="H107" s="239"/>
      <c r="I107" s="751"/>
      <c r="J107" s="751"/>
      <c r="K107" s="752"/>
      <c r="L107" s="753"/>
      <c r="M107" s="482"/>
      <c r="N107" s="474"/>
      <c r="O107" s="474"/>
      <c r="P107" s="475"/>
      <c r="Q107" s="475"/>
      <c r="R107" s="474"/>
      <c r="S107" s="474"/>
    </row>
    <row r="108" spans="1:20" ht="16.5" customHeight="1">
      <c r="A108" s="754" t="s">
        <v>262</v>
      </c>
      <c r="B108" s="716" t="s">
        <v>263</v>
      </c>
      <c r="C108" s="695"/>
      <c r="D108" s="755">
        <f>SUM(D109:D111)</f>
        <v>264616000</v>
      </c>
      <c r="E108" s="570">
        <f>SUM(E109:E111)</f>
        <v>372229740</v>
      </c>
      <c r="F108" s="652">
        <f t="shared" ref="F108:F115" si="9">E108-D108</f>
        <v>107613740</v>
      </c>
      <c r="G108" s="687">
        <f t="shared" si="7"/>
        <v>40.66788856304985</v>
      </c>
      <c r="H108" s="82"/>
      <c r="I108" s="219"/>
      <c r="J108" s="734"/>
      <c r="K108" s="7"/>
      <c r="T108" s="222"/>
    </row>
    <row r="109" spans="1:20" ht="16.5" customHeight="1">
      <c r="A109" s="739"/>
      <c r="B109" s="705"/>
      <c r="C109" s="639" t="s">
        <v>132</v>
      </c>
      <c r="D109" s="720">
        <f t="shared" ref="D109:E110" si="10">SUM(D113,D117,D122)</f>
        <v>264616000</v>
      </c>
      <c r="E109" s="522">
        <f t="shared" si="10"/>
        <v>370229740</v>
      </c>
      <c r="F109" s="655">
        <f t="shared" si="9"/>
        <v>105613740</v>
      </c>
      <c r="G109" s="677">
        <f t="shared" si="7"/>
        <v>39.912076367264262</v>
      </c>
      <c r="H109" s="82"/>
      <c r="I109" s="74"/>
      <c r="J109" s="7"/>
      <c r="K109" s="27"/>
    </row>
    <row r="110" spans="1:20" ht="16.5" customHeight="1">
      <c r="A110" s="739"/>
      <c r="B110" s="705"/>
      <c r="C110" s="639" t="s">
        <v>184</v>
      </c>
      <c r="D110" s="720">
        <f t="shared" si="10"/>
        <v>0</v>
      </c>
      <c r="E110" s="522">
        <f t="shared" si="10"/>
        <v>0</v>
      </c>
      <c r="F110" s="655">
        <f t="shared" si="9"/>
        <v>0</v>
      </c>
      <c r="G110" s="677">
        <v>0</v>
      </c>
      <c r="H110" s="82"/>
      <c r="I110" s="219"/>
      <c r="J110" s="734"/>
      <c r="K110" s="7"/>
    </row>
    <row r="111" spans="1:20" ht="16.5" customHeight="1">
      <c r="A111" s="739"/>
      <c r="B111" s="705"/>
      <c r="C111" s="639" t="s">
        <v>137</v>
      </c>
      <c r="D111" s="720">
        <f>SUM(D115,D119,D124)</f>
        <v>0</v>
      </c>
      <c r="E111" s="571">
        <f>SUM(E115,E119,E124)</f>
        <v>2000000</v>
      </c>
      <c r="F111" s="655">
        <f t="shared" si="9"/>
        <v>2000000</v>
      </c>
      <c r="G111" s="677">
        <v>100</v>
      </c>
      <c r="H111" s="82"/>
      <c r="I111" s="219"/>
      <c r="J111" s="734"/>
      <c r="K111" s="7"/>
      <c r="M111" s="468">
        <f>SUM(L108:L111)</f>
        <v>0</v>
      </c>
    </row>
    <row r="112" spans="1:20" ht="16.5" customHeight="1">
      <c r="A112" s="739"/>
      <c r="B112" s="705"/>
      <c r="C112" s="756" t="s">
        <v>264</v>
      </c>
      <c r="D112" s="721">
        <f>SUM(D113:D115)</f>
        <v>160000000</v>
      </c>
      <c r="E112" s="521">
        <f>SUM(L112:L115)</f>
        <v>162000000</v>
      </c>
      <c r="F112" s="661">
        <f t="shared" si="9"/>
        <v>2000000</v>
      </c>
      <c r="G112" s="692">
        <f t="shared" si="7"/>
        <v>1.25</v>
      </c>
      <c r="H112" s="240" t="s">
        <v>264</v>
      </c>
      <c r="I112" s="757" t="s">
        <v>265</v>
      </c>
      <c r="J112" s="758"/>
      <c r="K112" s="759"/>
      <c r="L112" s="166">
        <v>138000000</v>
      </c>
    </row>
    <row r="113" spans="1:20" ht="16.5" customHeight="1">
      <c r="A113" s="739"/>
      <c r="B113" s="705"/>
      <c r="C113" s="706" t="s">
        <v>132</v>
      </c>
      <c r="D113" s="720">
        <v>160000000</v>
      </c>
      <c r="E113" s="522">
        <v>160000000</v>
      </c>
      <c r="F113" s="655">
        <f t="shared" si="9"/>
        <v>0</v>
      </c>
      <c r="G113" s="677">
        <f t="shared" si="7"/>
        <v>0</v>
      </c>
      <c r="H113" s="237"/>
      <c r="I113" s="90" t="s">
        <v>266</v>
      </c>
      <c r="J113" s="241"/>
      <c r="K113" s="760"/>
      <c r="L113" s="165">
        <v>18700000</v>
      </c>
    </row>
    <row r="114" spans="1:20" ht="16.5" customHeight="1">
      <c r="A114" s="739"/>
      <c r="B114" s="705"/>
      <c r="C114" s="706" t="s">
        <v>184</v>
      </c>
      <c r="D114" s="720">
        <v>0</v>
      </c>
      <c r="E114" s="522">
        <v>0</v>
      </c>
      <c r="F114" s="655">
        <f t="shared" si="9"/>
        <v>0</v>
      </c>
      <c r="G114" s="677">
        <v>0</v>
      </c>
      <c r="H114" s="237"/>
      <c r="I114" s="90" t="s">
        <v>267</v>
      </c>
      <c r="J114" s="79"/>
      <c r="K114" s="221"/>
      <c r="L114" s="165">
        <v>3300000</v>
      </c>
    </row>
    <row r="115" spans="1:20" ht="16.5" customHeight="1">
      <c r="A115" s="739"/>
      <c r="B115" s="705"/>
      <c r="C115" s="761" t="s">
        <v>137</v>
      </c>
      <c r="D115" s="725">
        <v>0</v>
      </c>
      <c r="E115" s="571">
        <v>2000000</v>
      </c>
      <c r="F115" s="669">
        <f t="shared" si="9"/>
        <v>2000000</v>
      </c>
      <c r="G115" s="693">
        <v>100</v>
      </c>
      <c r="H115" s="242"/>
      <c r="I115" s="728" t="s">
        <v>268</v>
      </c>
      <c r="J115" s="245"/>
      <c r="K115" s="479"/>
      <c r="L115" s="731">
        <v>2000000</v>
      </c>
    </row>
    <row r="116" spans="1:20" ht="16.5" customHeight="1">
      <c r="A116" s="737"/>
      <c r="B116" s="705"/>
      <c r="C116" s="762" t="s">
        <v>269</v>
      </c>
      <c r="D116" s="732">
        <f>SUM(D117:D119)</f>
        <v>0</v>
      </c>
      <c r="E116" s="572">
        <f>SUM(E117:E119)</f>
        <v>0</v>
      </c>
      <c r="F116" s="655">
        <f>E116-D116</f>
        <v>0</v>
      </c>
      <c r="G116" s="677">
        <v>0</v>
      </c>
      <c r="H116" s="237" t="s">
        <v>270</v>
      </c>
      <c r="I116" s="238"/>
      <c r="J116" s="238"/>
      <c r="K116" s="763"/>
      <c r="L116" s="165">
        <v>0</v>
      </c>
      <c r="M116" s="220">
        <f>SUM(L116:L120)</f>
        <v>0</v>
      </c>
      <c r="N116" s="476">
        <f>SUM(M116:M119)</f>
        <v>0</v>
      </c>
      <c r="O116" s="477"/>
      <c r="P116" s="478" t="s">
        <v>132</v>
      </c>
      <c r="Q116" s="478">
        <v>0</v>
      </c>
      <c r="R116" s="477"/>
      <c r="S116" s="477"/>
    </row>
    <row r="117" spans="1:20" ht="16.5" customHeight="1">
      <c r="A117" s="737"/>
      <c r="B117" s="705"/>
      <c r="C117" s="706" t="s">
        <v>132</v>
      </c>
      <c r="D117" s="720">
        <v>0</v>
      </c>
      <c r="E117" s="573"/>
      <c r="F117" s="655">
        <f>E117-D117</f>
        <v>0</v>
      </c>
      <c r="G117" s="677">
        <v>0</v>
      </c>
      <c r="H117" s="237"/>
      <c r="I117" s="238"/>
      <c r="J117" s="238"/>
      <c r="K117" s="763"/>
      <c r="L117" s="165"/>
      <c r="M117" s="216"/>
      <c r="N117" s="79"/>
      <c r="O117" s="79"/>
      <c r="P117" s="221" t="s">
        <v>184</v>
      </c>
      <c r="Q117" s="221"/>
      <c r="R117" s="79"/>
      <c r="S117" s="79"/>
    </row>
    <row r="118" spans="1:20" ht="16.5" customHeight="1">
      <c r="A118" s="737"/>
      <c r="B118" s="705"/>
      <c r="C118" s="706" t="s">
        <v>184</v>
      </c>
      <c r="D118" s="720"/>
      <c r="E118" s="522"/>
      <c r="F118" s="655">
        <f>E118-D118</f>
        <v>0</v>
      </c>
      <c r="G118" s="677">
        <v>0</v>
      </c>
      <c r="H118" s="237"/>
      <c r="I118" s="79"/>
      <c r="J118" s="734"/>
      <c r="K118" s="241"/>
      <c r="L118" s="165"/>
      <c r="M118" s="216"/>
      <c r="N118" s="79"/>
      <c r="O118" s="79"/>
      <c r="P118" s="221" t="s">
        <v>137</v>
      </c>
      <c r="Q118" s="221"/>
      <c r="R118" s="79"/>
      <c r="S118" s="79"/>
    </row>
    <row r="119" spans="1:20" ht="16.5" customHeight="1">
      <c r="A119" s="739"/>
      <c r="B119" s="764"/>
      <c r="C119" s="706" t="s">
        <v>137</v>
      </c>
      <c r="D119" s="720"/>
      <c r="E119" s="522"/>
      <c r="F119" s="655">
        <f>E119-D119</f>
        <v>0</v>
      </c>
      <c r="G119" s="677">
        <v>0</v>
      </c>
      <c r="H119" s="243"/>
      <c r="I119" s="79"/>
      <c r="J119" s="765"/>
      <c r="K119" s="766"/>
      <c r="L119" s="165"/>
      <c r="M119" s="216"/>
      <c r="N119" s="79"/>
      <c r="O119" s="79"/>
      <c r="P119" s="221"/>
      <c r="Q119" s="221"/>
      <c r="R119" s="79"/>
      <c r="S119" s="79"/>
    </row>
    <row r="120" spans="1:20" ht="16.5" customHeight="1">
      <c r="A120" s="739"/>
      <c r="B120" s="764"/>
      <c r="C120" s="767"/>
      <c r="D120" s="768"/>
      <c r="E120" s="574"/>
      <c r="F120" s="669"/>
      <c r="G120" s="693">
        <v>0</v>
      </c>
      <c r="H120" s="244"/>
      <c r="I120" s="769"/>
      <c r="J120" s="245"/>
      <c r="K120" s="245"/>
      <c r="L120" s="731"/>
      <c r="M120" s="483"/>
      <c r="N120" s="245"/>
      <c r="O120" s="245"/>
      <c r="P120" s="479"/>
      <c r="Q120" s="479"/>
      <c r="R120" s="79"/>
      <c r="S120" s="79"/>
    </row>
    <row r="121" spans="1:20" ht="16.5" customHeight="1">
      <c r="A121" s="739"/>
      <c r="B121" s="705"/>
      <c r="C121" s="762" t="s">
        <v>271</v>
      </c>
      <c r="D121" s="732">
        <f>SUM(D122:D124)</f>
        <v>104616000</v>
      </c>
      <c r="E121" s="572">
        <f>SUM(E122:E124)</f>
        <v>210229740</v>
      </c>
      <c r="F121" s="655">
        <f t="shared" ref="F121:F123" si="11">E121-D121</f>
        <v>105613740</v>
      </c>
      <c r="G121" s="677">
        <f t="shared" si="7"/>
        <v>100.95371644872677</v>
      </c>
      <c r="H121" s="243" t="s">
        <v>272</v>
      </c>
      <c r="I121" s="587" t="s">
        <v>273</v>
      </c>
      <c r="J121" s="588"/>
      <c r="K121" s="589" t="s">
        <v>274</v>
      </c>
      <c r="L121" s="548">
        <f>811240*5</f>
        <v>4056200</v>
      </c>
      <c r="M121" s="468">
        <f>SUM(L121:L127)</f>
        <v>28224700</v>
      </c>
      <c r="N121" s="222">
        <f>SUM(M121:M124)</f>
        <v>28224700</v>
      </c>
      <c r="P121" s="478" t="s">
        <v>132</v>
      </c>
      <c r="Q121" s="202">
        <v>0</v>
      </c>
    </row>
    <row r="122" spans="1:20" ht="16.5" customHeight="1">
      <c r="A122" s="739"/>
      <c r="B122" s="705"/>
      <c r="C122" s="706" t="s">
        <v>132</v>
      </c>
      <c r="D122" s="720">
        <v>104616000</v>
      </c>
      <c r="E122" s="522">
        <f>SUM(L121:L161)</f>
        <v>210229740</v>
      </c>
      <c r="F122" s="655">
        <f t="shared" si="11"/>
        <v>105613740</v>
      </c>
      <c r="G122" s="677">
        <f t="shared" si="7"/>
        <v>100.95371644872677</v>
      </c>
      <c r="H122" s="243"/>
      <c r="I122" s="540" t="s">
        <v>275</v>
      </c>
      <c r="J122" s="549" t="s">
        <v>276</v>
      </c>
      <c r="K122" s="550" t="s">
        <v>277</v>
      </c>
      <c r="L122" s="543">
        <v>7500000</v>
      </c>
      <c r="P122" s="221" t="s">
        <v>184</v>
      </c>
      <c r="Q122" s="202">
        <f>N121-Q123-Q121</f>
        <v>24474700</v>
      </c>
    </row>
    <row r="123" spans="1:20" ht="16.5" customHeight="1">
      <c r="A123" s="737"/>
      <c r="B123" s="705"/>
      <c r="C123" s="706" t="s">
        <v>184</v>
      </c>
      <c r="D123" s="720">
        <v>0</v>
      </c>
      <c r="E123" s="522">
        <v>0</v>
      </c>
      <c r="F123" s="655">
        <f t="shared" si="11"/>
        <v>0</v>
      </c>
      <c r="G123" s="677">
        <v>0</v>
      </c>
      <c r="H123" s="237"/>
      <c r="I123" s="590" t="s">
        <v>278</v>
      </c>
      <c r="J123" s="549" t="s">
        <v>276</v>
      </c>
      <c r="K123" s="591" t="s">
        <v>279</v>
      </c>
      <c r="L123" s="543">
        <v>4500000</v>
      </c>
      <c r="P123" s="221" t="s">
        <v>280</v>
      </c>
      <c r="Q123" s="202">
        <v>3750000</v>
      </c>
    </row>
    <row r="124" spans="1:20" ht="16.5" customHeight="1">
      <c r="A124" s="737"/>
      <c r="B124" s="705"/>
      <c r="C124" s="706" t="s">
        <v>281</v>
      </c>
      <c r="D124" s="720">
        <v>0</v>
      </c>
      <c r="E124" s="522">
        <v>0</v>
      </c>
      <c r="F124" s="655">
        <v>0</v>
      </c>
      <c r="G124" s="677">
        <v>0</v>
      </c>
      <c r="H124" s="243"/>
      <c r="I124" s="590" t="s">
        <v>282</v>
      </c>
      <c r="J124" s="549" t="s">
        <v>276</v>
      </c>
      <c r="K124" s="591"/>
      <c r="L124" s="543">
        <v>1435500</v>
      </c>
    </row>
    <row r="125" spans="1:20" ht="16.5" customHeight="1">
      <c r="A125" s="737"/>
      <c r="B125" s="705"/>
      <c r="C125" s="706"/>
      <c r="D125" s="698"/>
      <c r="E125" s="522"/>
      <c r="F125" s="655"/>
      <c r="G125" s="677"/>
      <c r="H125" s="243"/>
      <c r="I125" s="590" t="s">
        <v>283</v>
      </c>
      <c r="J125" s="592"/>
      <c r="K125" s="591" t="s">
        <v>284</v>
      </c>
      <c r="L125" s="543">
        <v>1200000</v>
      </c>
    </row>
    <row r="126" spans="1:20" ht="16.5" customHeight="1">
      <c r="A126" s="737"/>
      <c r="B126" s="705"/>
      <c r="C126" s="706"/>
      <c r="D126" s="698"/>
      <c r="E126" s="522"/>
      <c r="F126" s="655"/>
      <c r="G126" s="677"/>
      <c r="H126" s="243"/>
      <c r="I126" s="540" t="s">
        <v>285</v>
      </c>
      <c r="J126" s="540"/>
      <c r="K126" s="550" t="s">
        <v>286</v>
      </c>
      <c r="L126" s="543">
        <v>1033000</v>
      </c>
    </row>
    <row r="127" spans="1:20" ht="16.5" customHeight="1">
      <c r="A127" s="737"/>
      <c r="B127" s="705"/>
      <c r="C127" s="706"/>
      <c r="D127" s="698"/>
      <c r="E127" s="522"/>
      <c r="F127" s="655"/>
      <c r="G127" s="677"/>
      <c r="H127" s="243"/>
      <c r="I127" s="590" t="s">
        <v>287</v>
      </c>
      <c r="J127" s="592"/>
      <c r="K127" s="591" t="s">
        <v>288</v>
      </c>
      <c r="L127" s="543">
        <v>8500000</v>
      </c>
      <c r="M127" s="530"/>
      <c r="N127" s="531"/>
      <c r="O127" s="531"/>
      <c r="P127" s="532"/>
      <c r="Q127" s="532"/>
      <c r="R127" s="531"/>
      <c r="S127" s="531"/>
      <c r="T127" s="531"/>
    </row>
    <row r="128" spans="1:20" ht="16.5" customHeight="1">
      <c r="A128" s="737"/>
      <c r="B128" s="705"/>
      <c r="C128" s="706"/>
      <c r="D128" s="698"/>
      <c r="E128" s="522"/>
      <c r="F128" s="655"/>
      <c r="G128" s="677"/>
      <c r="H128" s="243"/>
      <c r="I128" s="590" t="s">
        <v>289</v>
      </c>
      <c r="J128" s="592"/>
      <c r="K128" s="591" t="s">
        <v>290</v>
      </c>
      <c r="L128" s="543">
        <f>150000*6</f>
        <v>900000</v>
      </c>
    </row>
    <row r="129" spans="1:21" ht="16.5" customHeight="1">
      <c r="A129" s="737"/>
      <c r="B129" s="705"/>
      <c r="C129" s="706"/>
      <c r="D129" s="698"/>
      <c r="E129" s="522"/>
      <c r="F129" s="655"/>
      <c r="G129" s="677"/>
      <c r="H129" s="243"/>
      <c r="I129" s="590" t="s">
        <v>291</v>
      </c>
      <c r="J129" s="592"/>
      <c r="K129" s="591" t="s">
        <v>292</v>
      </c>
      <c r="L129" s="543">
        <v>4200000</v>
      </c>
    </row>
    <row r="130" spans="1:21" ht="16.5" customHeight="1">
      <c r="A130" s="737"/>
      <c r="B130" s="705"/>
      <c r="C130" s="706"/>
      <c r="D130" s="698"/>
      <c r="E130" s="522"/>
      <c r="F130" s="655"/>
      <c r="G130" s="677"/>
      <c r="H130" s="243"/>
      <c r="I130" s="590" t="s">
        <v>293</v>
      </c>
      <c r="J130" s="549" t="s">
        <v>276</v>
      </c>
      <c r="K130" s="585">
        <v>4000000</v>
      </c>
      <c r="L130" s="543">
        <v>4000000</v>
      </c>
    </row>
    <row r="131" spans="1:21" s="468" customFormat="1" ht="16.5" customHeight="1">
      <c r="A131" s="737"/>
      <c r="B131" s="705"/>
      <c r="C131" s="706"/>
      <c r="D131" s="698"/>
      <c r="E131" s="522"/>
      <c r="F131" s="655"/>
      <c r="G131" s="677"/>
      <c r="H131" s="243"/>
      <c r="I131" s="590" t="s">
        <v>294</v>
      </c>
      <c r="J131" s="592"/>
      <c r="K131" s="591"/>
      <c r="L131" s="543">
        <v>2350000</v>
      </c>
      <c r="N131" s="178"/>
      <c r="O131" s="178"/>
      <c r="P131" s="202"/>
      <c r="Q131" s="202"/>
      <c r="R131" s="178"/>
      <c r="S131" s="178"/>
      <c r="T131" s="178"/>
      <c r="U131" s="178"/>
    </row>
    <row r="132" spans="1:21" s="468" customFormat="1" ht="16.5" customHeight="1">
      <c r="A132" s="737"/>
      <c r="B132" s="705"/>
      <c r="C132" s="706"/>
      <c r="D132" s="698"/>
      <c r="E132" s="522"/>
      <c r="F132" s="655"/>
      <c r="G132" s="677"/>
      <c r="H132" s="243"/>
      <c r="I132" s="590" t="s">
        <v>295</v>
      </c>
      <c r="J132" s="592"/>
      <c r="K132" s="591"/>
      <c r="L132" s="543">
        <v>5000000</v>
      </c>
      <c r="N132" s="178"/>
      <c r="O132" s="178"/>
      <c r="P132" s="202"/>
      <c r="Q132" s="202"/>
      <c r="R132" s="178"/>
      <c r="S132" s="178"/>
      <c r="T132" s="178"/>
      <c r="U132" s="178"/>
    </row>
    <row r="133" spans="1:21" s="468" customFormat="1" ht="16.5" customHeight="1">
      <c r="A133" s="737"/>
      <c r="B133" s="705"/>
      <c r="C133" s="706"/>
      <c r="D133" s="698"/>
      <c r="E133" s="522"/>
      <c r="F133" s="655"/>
      <c r="G133" s="677"/>
      <c r="H133" s="243"/>
      <c r="I133" s="551" t="s">
        <v>296</v>
      </c>
      <c r="J133" s="549" t="s">
        <v>276</v>
      </c>
      <c r="K133" s="550" t="s">
        <v>297</v>
      </c>
      <c r="L133" s="543">
        <v>9000000</v>
      </c>
      <c r="N133" s="178"/>
      <c r="O133" s="178"/>
      <c r="P133" s="202"/>
      <c r="Q133" s="202"/>
      <c r="R133" s="178"/>
      <c r="S133" s="178"/>
      <c r="T133" s="178"/>
      <c r="U133" s="178"/>
    </row>
    <row r="134" spans="1:21" s="468" customFormat="1" ht="16.5" customHeight="1">
      <c r="A134" s="737"/>
      <c r="B134" s="705"/>
      <c r="C134" s="706"/>
      <c r="D134" s="698"/>
      <c r="E134" s="522"/>
      <c r="F134" s="655"/>
      <c r="G134" s="677"/>
      <c r="H134" s="243"/>
      <c r="I134" s="590" t="s">
        <v>298</v>
      </c>
      <c r="J134" s="592"/>
      <c r="K134" s="591" t="s">
        <v>299</v>
      </c>
      <c r="L134" s="543">
        <f>385920*7</f>
        <v>2701440</v>
      </c>
      <c r="N134" s="178"/>
      <c r="O134" s="178"/>
      <c r="P134" s="202"/>
      <c r="Q134" s="202"/>
      <c r="R134" s="178"/>
      <c r="S134" s="178"/>
      <c r="T134" s="178"/>
      <c r="U134" s="178"/>
    </row>
    <row r="135" spans="1:21" s="468" customFormat="1" ht="16.5" customHeight="1">
      <c r="A135" s="737"/>
      <c r="B135" s="705"/>
      <c r="C135" s="706"/>
      <c r="D135" s="698"/>
      <c r="E135" s="522"/>
      <c r="F135" s="655"/>
      <c r="G135" s="677"/>
      <c r="H135" s="243"/>
      <c r="I135" s="554" t="s">
        <v>300</v>
      </c>
      <c r="J135" s="549" t="s">
        <v>276</v>
      </c>
      <c r="K135" s="551"/>
      <c r="L135" s="593">
        <v>30000000</v>
      </c>
      <c r="N135" s="178"/>
      <c r="O135" s="178"/>
      <c r="P135" s="202"/>
      <c r="Q135" s="202"/>
      <c r="R135" s="178"/>
      <c r="S135" s="178"/>
      <c r="T135" s="178"/>
      <c r="U135" s="178"/>
    </row>
    <row r="136" spans="1:21" s="468" customFormat="1" ht="16.5" customHeight="1">
      <c r="A136" s="737"/>
      <c r="B136" s="705"/>
      <c r="C136" s="706"/>
      <c r="D136" s="698"/>
      <c r="E136" s="522"/>
      <c r="F136" s="655"/>
      <c r="G136" s="677"/>
      <c r="H136" s="243"/>
      <c r="I136" s="590" t="s">
        <v>301</v>
      </c>
      <c r="J136" s="549" t="s">
        <v>276</v>
      </c>
      <c r="K136" s="591"/>
      <c r="L136" s="543">
        <v>400000</v>
      </c>
      <c r="N136" s="178"/>
      <c r="O136" s="178"/>
      <c r="P136" s="202"/>
      <c r="Q136" s="202"/>
      <c r="R136" s="178"/>
      <c r="S136" s="178"/>
      <c r="T136" s="178"/>
      <c r="U136" s="178"/>
    </row>
    <row r="137" spans="1:21" s="468" customFormat="1" ht="16.5" customHeight="1">
      <c r="A137" s="737"/>
      <c r="B137" s="705"/>
      <c r="C137" s="706"/>
      <c r="D137" s="698"/>
      <c r="E137" s="522"/>
      <c r="F137" s="655"/>
      <c r="G137" s="677"/>
      <c r="H137" s="243"/>
      <c r="I137" s="590" t="s">
        <v>302</v>
      </c>
      <c r="J137" s="549" t="s">
        <v>276</v>
      </c>
      <c r="K137" s="591"/>
      <c r="L137" s="543">
        <v>4125000</v>
      </c>
      <c r="N137" s="178"/>
      <c r="O137" s="178"/>
      <c r="P137" s="202"/>
      <c r="Q137" s="202"/>
      <c r="R137" s="178"/>
      <c r="S137" s="178"/>
      <c r="T137" s="178"/>
      <c r="U137" s="178"/>
    </row>
    <row r="138" spans="1:21" s="468" customFormat="1" ht="16.5" customHeight="1">
      <c r="A138" s="737"/>
      <c r="B138" s="705"/>
      <c r="C138" s="706"/>
      <c r="D138" s="698"/>
      <c r="E138" s="522"/>
      <c r="F138" s="655"/>
      <c r="G138" s="677"/>
      <c r="H138" s="243"/>
      <c r="I138" s="590" t="s">
        <v>303</v>
      </c>
      <c r="J138" s="549" t="s">
        <v>276</v>
      </c>
      <c r="K138" s="591"/>
      <c r="L138" s="543">
        <v>6000000</v>
      </c>
      <c r="N138" s="178"/>
      <c r="O138" s="178"/>
      <c r="P138" s="202"/>
      <c r="Q138" s="202"/>
      <c r="R138" s="178"/>
      <c r="S138" s="178"/>
      <c r="T138" s="178"/>
      <c r="U138" s="178"/>
    </row>
    <row r="139" spans="1:21" s="468" customFormat="1" ht="16.5" customHeight="1">
      <c r="A139" s="737"/>
      <c r="B139" s="705"/>
      <c r="C139" s="706"/>
      <c r="D139" s="698"/>
      <c r="E139" s="522"/>
      <c r="F139" s="655"/>
      <c r="G139" s="677"/>
      <c r="H139" s="243"/>
      <c r="I139" s="590" t="s">
        <v>304</v>
      </c>
      <c r="J139" s="592"/>
      <c r="K139" s="591" t="s">
        <v>305</v>
      </c>
      <c r="L139" s="543">
        <f>276800+528000</f>
        <v>804800</v>
      </c>
      <c r="N139" s="178"/>
      <c r="O139" s="178"/>
      <c r="P139" s="202"/>
      <c r="Q139" s="202"/>
      <c r="R139" s="178"/>
      <c r="S139" s="178"/>
      <c r="T139" s="178"/>
      <c r="U139" s="178"/>
    </row>
    <row r="140" spans="1:21" s="468" customFormat="1" ht="16.5" customHeight="1">
      <c r="A140" s="737"/>
      <c r="B140" s="705"/>
      <c r="C140" s="706"/>
      <c r="D140" s="698"/>
      <c r="E140" s="522"/>
      <c r="F140" s="655"/>
      <c r="G140" s="677"/>
      <c r="H140" s="243"/>
      <c r="I140" s="590" t="s">
        <v>306</v>
      </c>
      <c r="J140" s="592"/>
      <c r="K140" s="591" t="s">
        <v>307</v>
      </c>
      <c r="L140" s="543">
        <f>3500000*5</f>
        <v>17500000</v>
      </c>
      <c r="N140" s="178"/>
      <c r="O140" s="178"/>
      <c r="P140" s="202"/>
      <c r="Q140" s="202"/>
      <c r="R140" s="178"/>
      <c r="S140" s="178"/>
      <c r="T140" s="178"/>
      <c r="U140" s="178"/>
    </row>
    <row r="141" spans="1:21" s="468" customFormat="1" ht="16.5" customHeight="1">
      <c r="A141" s="737"/>
      <c r="B141" s="705"/>
      <c r="C141" s="706"/>
      <c r="D141" s="698"/>
      <c r="E141" s="522"/>
      <c r="F141" s="655"/>
      <c r="G141" s="677"/>
      <c r="H141" s="243"/>
      <c r="I141" s="540" t="s">
        <v>308</v>
      </c>
      <c r="J141" s="540"/>
      <c r="K141" s="594"/>
      <c r="L141" s="595">
        <v>15000000</v>
      </c>
      <c r="N141" s="178"/>
      <c r="O141" s="178"/>
      <c r="P141" s="202"/>
      <c r="Q141" s="202"/>
      <c r="R141" s="178"/>
      <c r="S141" s="178"/>
      <c r="T141" s="178"/>
      <c r="U141" s="178"/>
    </row>
    <row r="142" spans="1:21" s="468" customFormat="1" ht="16.5" customHeight="1">
      <c r="A142" s="737"/>
      <c r="B142" s="705"/>
      <c r="C142" s="706"/>
      <c r="D142" s="698"/>
      <c r="E142" s="522"/>
      <c r="F142" s="655"/>
      <c r="G142" s="677"/>
      <c r="H142" s="243"/>
      <c r="I142" s="590" t="s">
        <v>309</v>
      </c>
      <c r="J142" s="592"/>
      <c r="K142" s="591" t="s">
        <v>310</v>
      </c>
      <c r="L142" s="543">
        <f>470300*6</f>
        <v>2821800</v>
      </c>
      <c r="N142" s="178"/>
      <c r="O142" s="178"/>
      <c r="P142" s="202"/>
      <c r="Q142" s="202"/>
      <c r="R142" s="178"/>
      <c r="S142" s="178"/>
      <c r="T142" s="178"/>
      <c r="U142" s="178"/>
    </row>
    <row r="143" spans="1:21" s="468" customFormat="1" ht="16.5" customHeight="1">
      <c r="A143" s="737"/>
      <c r="B143" s="705"/>
      <c r="C143" s="706"/>
      <c r="D143" s="698"/>
      <c r="E143" s="522"/>
      <c r="F143" s="655"/>
      <c r="G143" s="677"/>
      <c r="H143" s="243"/>
      <c r="I143" s="590" t="s">
        <v>311</v>
      </c>
      <c r="J143" s="549" t="s">
        <v>276</v>
      </c>
      <c r="K143" s="591" t="s">
        <v>312</v>
      </c>
      <c r="L143" s="543">
        <v>2000000</v>
      </c>
      <c r="N143" s="178"/>
      <c r="O143" s="178"/>
      <c r="P143" s="202"/>
      <c r="Q143" s="202"/>
      <c r="R143" s="178"/>
      <c r="S143" s="178"/>
      <c r="T143" s="178"/>
      <c r="U143" s="178"/>
    </row>
    <row r="144" spans="1:21" s="468" customFormat="1" ht="16.5" customHeight="1">
      <c r="A144" s="737"/>
      <c r="B144" s="705"/>
      <c r="C144" s="706"/>
      <c r="D144" s="698"/>
      <c r="E144" s="522"/>
      <c r="F144" s="655"/>
      <c r="G144" s="677"/>
      <c r="H144" s="243"/>
      <c r="I144" s="590" t="s">
        <v>313</v>
      </c>
      <c r="J144" s="592"/>
      <c r="K144" s="591" t="s">
        <v>314</v>
      </c>
      <c r="L144" s="543">
        <f>693000*2</f>
        <v>1386000</v>
      </c>
      <c r="N144" s="178"/>
      <c r="O144" s="178"/>
      <c r="P144" s="202"/>
      <c r="Q144" s="202"/>
      <c r="R144" s="178"/>
      <c r="S144" s="178"/>
      <c r="T144" s="178"/>
      <c r="U144" s="178"/>
    </row>
    <row r="145" spans="1:21" s="468" customFormat="1" ht="16.5" customHeight="1">
      <c r="A145" s="737"/>
      <c r="B145" s="705"/>
      <c r="C145" s="706"/>
      <c r="D145" s="698"/>
      <c r="E145" s="522"/>
      <c r="F145" s="655"/>
      <c r="G145" s="677"/>
      <c r="H145" s="243"/>
      <c r="I145" s="590" t="s">
        <v>315</v>
      </c>
      <c r="J145" s="549" t="s">
        <v>316</v>
      </c>
      <c r="K145" s="591"/>
      <c r="L145" s="543">
        <v>16000000</v>
      </c>
      <c r="N145" s="178"/>
      <c r="O145" s="178"/>
      <c r="P145" s="202"/>
      <c r="Q145" s="202"/>
      <c r="R145" s="178"/>
      <c r="S145" s="178"/>
      <c r="T145" s="178"/>
      <c r="U145" s="178"/>
    </row>
    <row r="146" spans="1:21" s="468" customFormat="1" ht="16.5" customHeight="1">
      <c r="A146" s="737"/>
      <c r="B146" s="705"/>
      <c r="C146" s="706"/>
      <c r="D146" s="698"/>
      <c r="E146" s="522"/>
      <c r="F146" s="655"/>
      <c r="G146" s="677"/>
      <c r="H146" s="243"/>
      <c r="I146" s="590" t="s">
        <v>317</v>
      </c>
      <c r="J146" s="549" t="s">
        <v>316</v>
      </c>
      <c r="K146" s="591" t="s">
        <v>318</v>
      </c>
      <c r="L146" s="543">
        <v>1200000</v>
      </c>
      <c r="N146" s="178"/>
      <c r="O146" s="178"/>
      <c r="P146" s="202"/>
      <c r="Q146" s="202"/>
      <c r="R146" s="178"/>
      <c r="S146" s="178"/>
      <c r="T146" s="178"/>
      <c r="U146" s="178"/>
    </row>
    <row r="147" spans="1:21" s="468" customFormat="1" ht="16.5" customHeight="1">
      <c r="A147" s="737"/>
      <c r="B147" s="705"/>
      <c r="C147" s="706"/>
      <c r="D147" s="698"/>
      <c r="E147" s="522"/>
      <c r="F147" s="655"/>
      <c r="G147" s="677"/>
      <c r="H147" s="243"/>
      <c r="I147" s="590" t="s">
        <v>319</v>
      </c>
      <c r="J147" s="549"/>
      <c r="K147" s="591"/>
      <c r="L147" s="543">
        <v>1110000</v>
      </c>
      <c r="N147" s="178"/>
      <c r="O147" s="178"/>
      <c r="P147" s="202"/>
      <c r="Q147" s="202"/>
      <c r="R147" s="178"/>
      <c r="S147" s="178"/>
      <c r="T147" s="178"/>
      <c r="U147" s="178"/>
    </row>
    <row r="148" spans="1:21" s="468" customFormat="1" ht="16.5" customHeight="1">
      <c r="A148" s="737"/>
      <c r="B148" s="705"/>
      <c r="C148" s="706"/>
      <c r="D148" s="698"/>
      <c r="E148" s="522"/>
      <c r="F148" s="655"/>
      <c r="G148" s="677"/>
      <c r="H148" s="243"/>
      <c r="I148" s="590" t="s">
        <v>320</v>
      </c>
      <c r="J148" s="592"/>
      <c r="K148" s="591" t="s">
        <v>321</v>
      </c>
      <c r="L148" s="543">
        <f>804000*3</f>
        <v>2412000</v>
      </c>
      <c r="N148" s="178"/>
      <c r="O148" s="178"/>
      <c r="P148" s="202"/>
      <c r="Q148" s="202"/>
      <c r="R148" s="178"/>
      <c r="S148" s="178"/>
      <c r="T148" s="178"/>
      <c r="U148" s="178"/>
    </row>
    <row r="149" spans="1:21" s="468" customFormat="1" ht="16.5" customHeight="1">
      <c r="A149" s="737"/>
      <c r="B149" s="705"/>
      <c r="C149" s="706"/>
      <c r="D149" s="698"/>
      <c r="E149" s="522"/>
      <c r="F149" s="655"/>
      <c r="G149" s="677"/>
      <c r="H149" s="243"/>
      <c r="I149" s="590" t="s">
        <v>322</v>
      </c>
      <c r="J149" s="592"/>
      <c r="K149" s="591"/>
      <c r="L149" s="543">
        <v>2940000</v>
      </c>
      <c r="N149" s="178"/>
      <c r="O149" s="178"/>
      <c r="P149" s="202"/>
      <c r="Q149" s="202"/>
      <c r="R149" s="178"/>
      <c r="S149" s="178"/>
      <c r="T149" s="178"/>
      <c r="U149" s="178"/>
    </row>
    <row r="150" spans="1:21" s="468" customFormat="1" ht="16.5" customHeight="1">
      <c r="A150" s="737"/>
      <c r="B150" s="705"/>
      <c r="C150" s="706"/>
      <c r="D150" s="698"/>
      <c r="E150" s="522"/>
      <c r="F150" s="655"/>
      <c r="G150" s="677"/>
      <c r="H150" s="243"/>
      <c r="I150" s="590" t="s">
        <v>323</v>
      </c>
      <c r="J150" s="592"/>
      <c r="K150" s="591" t="s">
        <v>324</v>
      </c>
      <c r="L150" s="543">
        <v>4410000</v>
      </c>
      <c r="N150" s="178"/>
      <c r="O150" s="178"/>
      <c r="P150" s="202"/>
      <c r="Q150" s="202"/>
      <c r="R150" s="178"/>
      <c r="S150" s="178"/>
      <c r="T150" s="178"/>
      <c r="U150" s="178"/>
    </row>
    <row r="151" spans="1:21" s="468" customFormat="1" ht="16.5" customHeight="1">
      <c r="A151" s="737"/>
      <c r="B151" s="705"/>
      <c r="C151" s="706"/>
      <c r="D151" s="698"/>
      <c r="E151" s="522"/>
      <c r="F151" s="655"/>
      <c r="G151" s="677"/>
      <c r="H151" s="243"/>
      <c r="I151" s="590" t="s">
        <v>325</v>
      </c>
      <c r="J151" s="549" t="s">
        <v>326</v>
      </c>
      <c r="K151" s="591" t="s">
        <v>327</v>
      </c>
      <c r="L151" s="543">
        <v>1400000</v>
      </c>
      <c r="N151" s="178"/>
      <c r="O151" s="178"/>
      <c r="P151" s="202"/>
      <c r="Q151" s="202"/>
      <c r="R151" s="178"/>
      <c r="S151" s="178"/>
      <c r="T151" s="178"/>
      <c r="U151" s="178"/>
    </row>
    <row r="152" spans="1:21" s="468" customFormat="1" ht="16.5" customHeight="1">
      <c r="A152" s="737"/>
      <c r="B152" s="705"/>
      <c r="C152" s="706"/>
      <c r="D152" s="698"/>
      <c r="E152" s="522"/>
      <c r="F152" s="655"/>
      <c r="G152" s="677"/>
      <c r="H152" s="243"/>
      <c r="I152" s="590" t="s">
        <v>328</v>
      </c>
      <c r="J152" s="592"/>
      <c r="K152" s="591"/>
      <c r="L152" s="543">
        <v>2500000</v>
      </c>
      <c r="N152" s="178"/>
      <c r="O152" s="178"/>
      <c r="P152" s="202"/>
      <c r="Q152" s="202"/>
      <c r="R152" s="178"/>
      <c r="S152" s="178"/>
      <c r="T152" s="178"/>
      <c r="U152" s="178"/>
    </row>
    <row r="153" spans="1:21" s="468" customFormat="1" ht="16.5" customHeight="1">
      <c r="A153" s="737"/>
      <c r="B153" s="705"/>
      <c r="C153" s="706"/>
      <c r="D153" s="698"/>
      <c r="E153" s="522"/>
      <c r="F153" s="655"/>
      <c r="G153" s="677"/>
      <c r="H153" s="243"/>
      <c r="I153" s="551" t="s">
        <v>329</v>
      </c>
      <c r="J153" s="549" t="s">
        <v>326</v>
      </c>
      <c r="K153" s="550"/>
      <c r="L153" s="543">
        <v>16302000</v>
      </c>
      <c r="N153" s="178"/>
      <c r="O153" s="178"/>
      <c r="P153" s="202"/>
      <c r="Q153" s="202"/>
      <c r="R153" s="178"/>
      <c r="S153" s="178"/>
      <c r="T153" s="178"/>
      <c r="U153" s="178"/>
    </row>
    <row r="154" spans="1:21" s="468" customFormat="1" ht="16.5" customHeight="1">
      <c r="A154" s="737"/>
      <c r="B154" s="705"/>
      <c r="C154" s="706"/>
      <c r="D154" s="698"/>
      <c r="E154" s="522"/>
      <c r="F154" s="655"/>
      <c r="G154" s="677"/>
      <c r="H154" s="243"/>
      <c r="I154" s="590" t="s">
        <v>330</v>
      </c>
      <c r="J154" s="592"/>
      <c r="K154" s="591">
        <v>500000</v>
      </c>
      <c r="L154" s="543">
        <v>500000</v>
      </c>
      <c r="N154" s="178"/>
      <c r="O154" s="178"/>
      <c r="P154" s="202"/>
      <c r="Q154" s="202"/>
      <c r="R154" s="178"/>
      <c r="S154" s="178"/>
      <c r="T154" s="178"/>
      <c r="U154" s="178"/>
    </row>
    <row r="155" spans="1:21" s="468" customFormat="1" ht="16.5" customHeight="1">
      <c r="A155" s="737"/>
      <c r="B155" s="705"/>
      <c r="C155" s="706"/>
      <c r="D155" s="698"/>
      <c r="E155" s="522"/>
      <c r="F155" s="655"/>
      <c r="G155" s="677"/>
      <c r="H155" s="243"/>
      <c r="I155" s="540" t="s">
        <v>331</v>
      </c>
      <c r="J155" s="540"/>
      <c r="K155" s="550"/>
      <c r="L155" s="543">
        <v>2000000</v>
      </c>
      <c r="N155" s="178"/>
      <c r="O155" s="178"/>
      <c r="P155" s="202"/>
      <c r="Q155" s="202"/>
      <c r="R155" s="178"/>
      <c r="S155" s="178"/>
      <c r="T155" s="178"/>
      <c r="U155" s="178"/>
    </row>
    <row r="156" spans="1:21" s="468" customFormat="1" ht="16.5" customHeight="1">
      <c r="A156" s="737"/>
      <c r="B156" s="705"/>
      <c r="C156" s="706"/>
      <c r="D156" s="698"/>
      <c r="E156" s="522"/>
      <c r="F156" s="655"/>
      <c r="G156" s="677"/>
      <c r="H156" s="243"/>
      <c r="I156" s="590" t="s">
        <v>332</v>
      </c>
      <c r="J156" s="592"/>
      <c r="K156" s="591" t="s">
        <v>333</v>
      </c>
      <c r="L156" s="543">
        <f>272000*6</f>
        <v>1632000</v>
      </c>
      <c r="N156" s="178"/>
      <c r="O156" s="178"/>
      <c r="P156" s="202"/>
      <c r="Q156" s="202"/>
      <c r="R156" s="178"/>
      <c r="S156" s="178"/>
      <c r="T156" s="178"/>
      <c r="U156" s="178"/>
    </row>
    <row r="157" spans="1:21" s="468" customFormat="1" ht="16.5" customHeight="1">
      <c r="A157" s="737"/>
      <c r="B157" s="705"/>
      <c r="C157" s="706"/>
      <c r="D157" s="698"/>
      <c r="E157" s="522"/>
      <c r="F157" s="655"/>
      <c r="G157" s="677"/>
      <c r="H157" s="243"/>
      <c r="I157" s="551" t="s">
        <v>334</v>
      </c>
      <c r="J157" s="551"/>
      <c r="K157" s="550" t="s">
        <v>335</v>
      </c>
      <c r="L157" s="543">
        <f>500000*3</f>
        <v>1500000</v>
      </c>
      <c r="N157" s="178"/>
      <c r="O157" s="178"/>
      <c r="P157" s="202"/>
      <c r="Q157" s="202"/>
      <c r="R157" s="178"/>
      <c r="S157" s="178"/>
      <c r="T157" s="178"/>
      <c r="U157" s="178"/>
    </row>
    <row r="158" spans="1:21" s="468" customFormat="1" ht="16.5" customHeight="1">
      <c r="A158" s="737"/>
      <c r="B158" s="705"/>
      <c r="C158" s="706"/>
      <c r="D158" s="698"/>
      <c r="E158" s="522"/>
      <c r="F158" s="655"/>
      <c r="G158" s="677"/>
      <c r="H158" s="243"/>
      <c r="I158" s="590" t="s">
        <v>336</v>
      </c>
      <c r="J158" s="592"/>
      <c r="K158" s="591" t="s">
        <v>337</v>
      </c>
      <c r="L158" s="543">
        <f>(1100000*3)+2860000</f>
        <v>6160000</v>
      </c>
      <c r="N158" s="178"/>
      <c r="O158" s="178"/>
      <c r="P158" s="202"/>
      <c r="Q158" s="202"/>
      <c r="R158" s="178"/>
      <c r="S158" s="178"/>
      <c r="T158" s="178"/>
      <c r="U158" s="178"/>
    </row>
    <row r="159" spans="1:21" s="468" customFormat="1" ht="16.5" customHeight="1">
      <c r="A159" s="737"/>
      <c r="B159" s="705"/>
      <c r="C159" s="706"/>
      <c r="D159" s="698"/>
      <c r="E159" s="522"/>
      <c r="F159" s="655"/>
      <c r="G159" s="677"/>
      <c r="H159" s="243"/>
      <c r="I159" s="590" t="s">
        <v>338</v>
      </c>
      <c r="J159" s="549" t="s">
        <v>339</v>
      </c>
      <c r="K159" s="591"/>
      <c r="L159" s="543">
        <v>8250000</v>
      </c>
      <c r="N159" s="178"/>
      <c r="O159" s="178"/>
      <c r="P159" s="202"/>
      <c r="Q159" s="202"/>
      <c r="R159" s="178"/>
      <c r="S159" s="178"/>
      <c r="T159" s="178"/>
      <c r="U159" s="178"/>
    </row>
    <row r="160" spans="1:21" s="468" customFormat="1" ht="16.5" customHeight="1">
      <c r="A160" s="737"/>
      <c r="B160" s="705"/>
      <c r="C160" s="706"/>
      <c r="D160" s="698"/>
      <c r="E160" s="522"/>
      <c r="F160" s="655"/>
      <c r="G160" s="677"/>
      <c r="H160" s="243"/>
      <c r="I160" s="540" t="s">
        <v>340</v>
      </c>
      <c r="J160" s="540"/>
      <c r="K160" s="550"/>
      <c r="L160" s="543">
        <v>1000000</v>
      </c>
      <c r="N160" s="178"/>
      <c r="O160" s="178"/>
      <c r="P160" s="202"/>
      <c r="Q160" s="202"/>
      <c r="R160" s="178"/>
      <c r="S160" s="178"/>
      <c r="T160" s="178"/>
      <c r="U160" s="178"/>
    </row>
    <row r="161" spans="1:21" s="468" customFormat="1" ht="16.5" customHeight="1">
      <c r="A161" s="770"/>
      <c r="B161" s="771"/>
      <c r="C161" s="761"/>
      <c r="D161" s="699"/>
      <c r="E161" s="571"/>
      <c r="F161" s="669"/>
      <c r="G161" s="693"/>
      <c r="H161" s="244"/>
      <c r="I161" s="596" t="s">
        <v>341</v>
      </c>
      <c r="J161" s="549" t="s">
        <v>342</v>
      </c>
      <c r="K161" s="597" t="s">
        <v>343</v>
      </c>
      <c r="L161" s="544">
        <v>4500000</v>
      </c>
      <c r="N161" s="178"/>
      <c r="O161" s="178"/>
      <c r="P161" s="202"/>
      <c r="Q161" s="202"/>
      <c r="R161" s="178"/>
      <c r="S161" s="178"/>
      <c r="T161" s="178"/>
      <c r="U161" s="178"/>
    </row>
    <row r="162" spans="1:21" ht="16.5" customHeight="1">
      <c r="A162" s="772" t="s">
        <v>344</v>
      </c>
      <c r="B162" s="773" t="s">
        <v>345</v>
      </c>
      <c r="C162" s="774"/>
      <c r="D162" s="568">
        <f>SUM(D163:D165)</f>
        <v>47349147</v>
      </c>
      <c r="E162" s="521">
        <f>SUM(E163:E165)</f>
        <v>46086750</v>
      </c>
      <c r="F162" s="698">
        <f t="shared" ref="F162:F170" si="12">E162-D162</f>
        <v>-1262397</v>
      </c>
      <c r="G162" s="775">
        <f t="shared" ref="G162:G187" si="13">F162/D162*100</f>
        <v>-2.6661451789194852</v>
      </c>
      <c r="H162" s="96" t="s">
        <v>346</v>
      </c>
      <c r="I162" s="592"/>
      <c r="J162" s="592"/>
      <c r="K162" s="598"/>
      <c r="L162" s="543"/>
    </row>
    <row r="163" spans="1:21" ht="16.5" customHeight="1">
      <c r="A163" s="700"/>
      <c r="B163" s="776" t="s">
        <v>169</v>
      </c>
      <c r="C163" s="639" t="s">
        <v>347</v>
      </c>
      <c r="D163" s="777">
        <f>SUM(D167,D177,D188,D192,D200,D15,D196,D204,D208)</f>
        <v>18359147</v>
      </c>
      <c r="E163" s="522">
        <f>SUM(E167,E177,E188,E192,E200,E15,E196,E204,E208)</f>
        <v>45086750</v>
      </c>
      <c r="F163" s="698">
        <f t="shared" si="12"/>
        <v>26727603</v>
      </c>
      <c r="G163" s="775">
        <f t="shared" si="13"/>
        <v>145.58194343124984</v>
      </c>
      <c r="H163" s="73"/>
      <c r="I163" s="554"/>
      <c r="J163" s="599"/>
      <c r="K163" s="551"/>
      <c r="L163" s="593"/>
    </row>
    <row r="164" spans="1:21" ht="16.5" customHeight="1">
      <c r="A164" s="671"/>
      <c r="B164" s="672"/>
      <c r="C164" s="639" t="s">
        <v>348</v>
      </c>
      <c r="D164" s="777">
        <f>SUM(D169,D178,D189,D193,D197,D201,D205,D210)</f>
        <v>26000000</v>
      </c>
      <c r="E164" s="522">
        <f>SUM(E169,E178,E189,E193,E197,E201,E205,E210)</f>
        <v>0</v>
      </c>
      <c r="F164" s="698">
        <f>E164-D164</f>
        <v>-26000000</v>
      </c>
      <c r="G164" s="775">
        <f t="shared" si="13"/>
        <v>-100</v>
      </c>
      <c r="H164" s="96"/>
      <c r="I164" s="590"/>
      <c r="J164" s="590"/>
      <c r="K164" s="554"/>
      <c r="L164" s="543"/>
    </row>
    <row r="165" spans="1:21" ht="16.5" customHeight="1">
      <c r="A165" s="671"/>
      <c r="B165" s="672"/>
      <c r="C165" s="639" t="s">
        <v>12</v>
      </c>
      <c r="D165" s="539">
        <f>SUM(D170,D179,D190,D194,D198,D202,D206,D210)</f>
        <v>2990000</v>
      </c>
      <c r="E165" s="522">
        <f>SUM(E170,E179,E190,E194,E198,E202,E206,E211)</f>
        <v>1000000</v>
      </c>
      <c r="F165" s="698">
        <f t="shared" si="12"/>
        <v>-1990000</v>
      </c>
      <c r="G165" s="775">
        <f t="shared" si="13"/>
        <v>-66.555183946488299</v>
      </c>
      <c r="H165" s="533"/>
      <c r="I165" s="596"/>
      <c r="J165" s="596"/>
      <c r="K165" s="560"/>
      <c r="L165" s="544"/>
      <c r="M165" s="216">
        <f>SUM(L162:L165)</f>
        <v>0</v>
      </c>
    </row>
    <row r="166" spans="1:21" ht="16.5" customHeight="1">
      <c r="A166" s="671"/>
      <c r="B166" s="688"/>
      <c r="C166" s="658" t="s">
        <v>349</v>
      </c>
      <c r="D166" s="721">
        <f>SUM(D167:D175)</f>
        <v>15879147</v>
      </c>
      <c r="E166" s="521">
        <f>SUM(E167:E170)</f>
        <v>26776820</v>
      </c>
      <c r="F166" s="778">
        <f t="shared" si="12"/>
        <v>10897673</v>
      </c>
      <c r="G166" s="779">
        <f t="shared" si="13"/>
        <v>68.628831259009061</v>
      </c>
      <c r="H166" s="96" t="s">
        <v>350</v>
      </c>
      <c r="I166" s="554" t="s">
        <v>351</v>
      </c>
      <c r="J166" s="554"/>
      <c r="K166" s="582"/>
      <c r="L166" s="555">
        <v>3352520</v>
      </c>
      <c r="M166" s="484">
        <f>L166</f>
        <v>3352520</v>
      </c>
      <c r="N166" s="477"/>
      <c r="O166" s="477"/>
      <c r="P166" s="485" t="s">
        <v>352</v>
      </c>
      <c r="Q166" s="485">
        <v>1000000</v>
      </c>
      <c r="R166" s="477"/>
      <c r="T166" s="531"/>
    </row>
    <row r="167" spans="1:21" ht="16.5" customHeight="1">
      <c r="A167" s="671"/>
      <c r="B167" s="688"/>
      <c r="C167" s="639" t="s">
        <v>353</v>
      </c>
      <c r="D167" s="720">
        <v>12749147</v>
      </c>
      <c r="E167" s="522">
        <f>SUM(L166:L175)</f>
        <v>26776820</v>
      </c>
      <c r="F167" s="710">
        <f t="shared" si="12"/>
        <v>14027673</v>
      </c>
      <c r="G167" s="780">
        <f t="shared" si="13"/>
        <v>110.0283258166213</v>
      </c>
      <c r="H167" s="254"/>
      <c r="I167" s="554" t="s">
        <v>354</v>
      </c>
      <c r="J167" s="554"/>
      <c r="K167" s="582"/>
      <c r="L167" s="555">
        <f>27000+19000+25000</f>
        <v>71000</v>
      </c>
      <c r="P167" s="486" t="s">
        <v>145</v>
      </c>
      <c r="Q167" s="486">
        <v>10625000</v>
      </c>
    </row>
    <row r="168" spans="1:21" ht="16.5" customHeight="1">
      <c r="A168" s="671"/>
      <c r="B168" s="688"/>
      <c r="C168" s="639"/>
      <c r="D168" s="720"/>
      <c r="E168" s="522"/>
      <c r="F168" s="710"/>
      <c r="G168" s="780"/>
      <c r="H168" s="254"/>
      <c r="I168" s="554" t="s">
        <v>355</v>
      </c>
      <c r="J168" s="554"/>
      <c r="K168" s="582"/>
      <c r="L168" s="555">
        <f>3300000+2860000</f>
        <v>6160000</v>
      </c>
      <c r="P168" s="486"/>
      <c r="Q168" s="486"/>
    </row>
    <row r="169" spans="1:21" ht="16.5" customHeight="1">
      <c r="A169" s="671"/>
      <c r="B169" s="688"/>
      <c r="C169" s="639" t="s">
        <v>145</v>
      </c>
      <c r="D169" s="720">
        <v>3130000</v>
      </c>
      <c r="E169" s="522">
        <v>0</v>
      </c>
      <c r="F169" s="710">
        <f t="shared" si="12"/>
        <v>-3130000</v>
      </c>
      <c r="G169" s="780">
        <f t="shared" si="13"/>
        <v>-100</v>
      </c>
      <c r="H169" s="534"/>
      <c r="I169" s="554" t="s">
        <v>356</v>
      </c>
      <c r="J169" s="554"/>
      <c r="K169" s="582"/>
      <c r="L169" s="555">
        <v>3396630</v>
      </c>
      <c r="M169" s="216"/>
      <c r="N169" s="79"/>
      <c r="P169" s="487" t="s">
        <v>146</v>
      </c>
      <c r="Q169" s="487">
        <v>4000000</v>
      </c>
      <c r="R169" s="79"/>
    </row>
    <row r="170" spans="1:21" ht="16.5" customHeight="1">
      <c r="A170" s="671"/>
      <c r="B170" s="688"/>
      <c r="C170" s="639" t="s">
        <v>146</v>
      </c>
      <c r="D170" s="720">
        <v>0</v>
      </c>
      <c r="E170" s="522">
        <v>0</v>
      </c>
      <c r="F170" s="710">
        <f t="shared" si="12"/>
        <v>0</v>
      </c>
      <c r="G170" s="780">
        <v>0</v>
      </c>
      <c r="H170" s="534"/>
      <c r="I170" s="554" t="s">
        <v>357</v>
      </c>
      <c r="J170" s="554"/>
      <c r="K170" s="582"/>
      <c r="L170" s="555">
        <v>377240</v>
      </c>
      <c r="M170" s="535"/>
      <c r="N170" s="536"/>
      <c r="O170" s="537"/>
      <c r="P170" s="538"/>
      <c r="Q170" s="538"/>
      <c r="R170" s="536"/>
      <c r="S170" s="537"/>
    </row>
    <row r="171" spans="1:21" ht="16.5" customHeight="1">
      <c r="A171" s="671"/>
      <c r="B171" s="688"/>
      <c r="C171" s="639"/>
      <c r="D171" s="720"/>
      <c r="E171" s="522"/>
      <c r="F171" s="710"/>
      <c r="G171" s="780"/>
      <c r="H171" s="534"/>
      <c r="I171" s="554" t="s">
        <v>358</v>
      </c>
      <c r="J171" s="554"/>
      <c r="K171" s="582"/>
      <c r="L171" s="555">
        <v>424000</v>
      </c>
      <c r="M171" s="216"/>
      <c r="N171" s="79"/>
      <c r="P171" s="487"/>
      <c r="Q171" s="487"/>
      <c r="R171" s="79"/>
    </row>
    <row r="172" spans="1:21" ht="16.5" customHeight="1">
      <c r="A172" s="671"/>
      <c r="B172" s="688"/>
      <c r="C172" s="639"/>
      <c r="D172" s="720"/>
      <c r="E172" s="522"/>
      <c r="F172" s="710"/>
      <c r="G172" s="780"/>
      <c r="H172" s="534"/>
      <c r="I172" s="554" t="s">
        <v>359</v>
      </c>
      <c r="J172" s="554"/>
      <c r="K172" s="582"/>
      <c r="L172" s="555">
        <v>2503000</v>
      </c>
      <c r="M172" s="216"/>
      <c r="N172" s="79"/>
      <c r="P172" s="487"/>
      <c r="Q172" s="487"/>
      <c r="R172" s="79"/>
    </row>
    <row r="173" spans="1:21" ht="16.5" customHeight="1">
      <c r="A173" s="671"/>
      <c r="B173" s="688"/>
      <c r="C173" s="639"/>
      <c r="D173" s="720"/>
      <c r="E173" s="522"/>
      <c r="F173" s="710"/>
      <c r="G173" s="780"/>
      <c r="H173" s="534"/>
      <c r="I173" s="554" t="s">
        <v>360</v>
      </c>
      <c r="J173" s="554"/>
      <c r="K173" s="582"/>
      <c r="L173" s="555">
        <f>207000+138000+59000+79000</f>
        <v>483000</v>
      </c>
      <c r="M173" s="216"/>
      <c r="N173" s="79"/>
      <c r="P173" s="487"/>
      <c r="Q173" s="487"/>
      <c r="R173" s="79"/>
    </row>
    <row r="174" spans="1:21" ht="16.5" customHeight="1">
      <c r="A174" s="671"/>
      <c r="B174" s="688"/>
      <c r="C174" s="639"/>
      <c r="D174" s="720"/>
      <c r="E174" s="522"/>
      <c r="F174" s="710"/>
      <c r="G174" s="780"/>
      <c r="H174" s="534"/>
      <c r="I174" s="554" t="s">
        <v>361</v>
      </c>
      <c r="J174" s="554"/>
      <c r="K174" s="582"/>
      <c r="L174" s="555">
        <v>112000</v>
      </c>
      <c r="M174" s="216"/>
      <c r="N174" s="79"/>
      <c r="P174" s="487"/>
      <c r="Q174" s="487"/>
      <c r="R174" s="79"/>
    </row>
    <row r="175" spans="1:21" ht="16.5" customHeight="1">
      <c r="A175" s="671"/>
      <c r="B175" s="688"/>
      <c r="C175" s="639"/>
      <c r="D175" s="720"/>
      <c r="E175" s="522"/>
      <c r="F175" s="710"/>
      <c r="G175" s="780"/>
      <c r="H175" s="534"/>
      <c r="I175" s="554" t="s">
        <v>362</v>
      </c>
      <c r="J175" s="554"/>
      <c r="K175" s="582"/>
      <c r="L175" s="555">
        <v>9897430</v>
      </c>
      <c r="M175" s="216"/>
      <c r="N175" s="79"/>
      <c r="P175" s="487"/>
      <c r="Q175" s="487"/>
      <c r="R175" s="79"/>
    </row>
    <row r="176" spans="1:21" ht="16.5" customHeight="1">
      <c r="A176" s="671"/>
      <c r="B176" s="672"/>
      <c r="C176" s="756" t="s">
        <v>363</v>
      </c>
      <c r="D176" s="781">
        <f>SUM(D177:D179)</f>
        <v>6800000</v>
      </c>
      <c r="E176" s="575">
        <f>SUM(E177:E179)</f>
        <v>4930500</v>
      </c>
      <c r="F176" s="782">
        <f>E176-D176</f>
        <v>-1869500</v>
      </c>
      <c r="G176" s="783">
        <f t="shared" si="13"/>
        <v>-27.492647058823529</v>
      </c>
      <c r="H176" s="247" t="s">
        <v>363</v>
      </c>
      <c r="I176" s="552" t="s">
        <v>364</v>
      </c>
      <c r="J176" s="552"/>
      <c r="K176" s="553" t="s">
        <v>365</v>
      </c>
      <c r="L176" s="556">
        <v>990000</v>
      </c>
      <c r="M176" s="163">
        <v>14540000</v>
      </c>
      <c r="N176" s="222">
        <f>SUM(M176:M182)</f>
        <v>29880000</v>
      </c>
      <c r="P176" s="486" t="s">
        <v>151</v>
      </c>
      <c r="Q176" s="486">
        <v>2000000</v>
      </c>
      <c r="R176" s="178" t="s">
        <v>366</v>
      </c>
    </row>
    <row r="177" spans="1:20" ht="16.5" customHeight="1">
      <c r="A177" s="671"/>
      <c r="B177" s="672"/>
      <c r="C177" s="706" t="s">
        <v>151</v>
      </c>
      <c r="D177" s="784">
        <v>3810000</v>
      </c>
      <c r="E177" s="522">
        <f>SUM(L176:L181)</f>
        <v>4930500</v>
      </c>
      <c r="F177" s="785">
        <f t="shared" ref="F177:F206" si="14">E177-D177</f>
        <v>1120500</v>
      </c>
      <c r="G177" s="775">
        <f t="shared" si="13"/>
        <v>29.409448818897637</v>
      </c>
      <c r="H177" s="248"/>
      <c r="I177" s="552" t="s">
        <v>367</v>
      </c>
      <c r="J177" s="552"/>
      <c r="K177" s="553"/>
      <c r="L177" s="556">
        <v>250400</v>
      </c>
      <c r="M177" s="104">
        <v>2300000</v>
      </c>
      <c r="P177" s="486" t="s">
        <v>145</v>
      </c>
      <c r="Q177" s="486">
        <v>8540000</v>
      </c>
      <c r="T177" s="531"/>
    </row>
    <row r="178" spans="1:20" s="79" customFormat="1" ht="16.5" customHeight="1">
      <c r="A178" s="671"/>
      <c r="B178" s="672"/>
      <c r="C178" s="706" t="s">
        <v>145</v>
      </c>
      <c r="D178" s="720">
        <v>0</v>
      </c>
      <c r="E178" s="522">
        <v>0</v>
      </c>
      <c r="F178" s="785">
        <f t="shared" si="14"/>
        <v>0</v>
      </c>
      <c r="G178" s="775">
        <v>0</v>
      </c>
      <c r="H178" s="250"/>
      <c r="I178" s="600" t="s">
        <v>368</v>
      </c>
      <c r="J178" s="600"/>
      <c r="K178" s="601" t="s">
        <v>369</v>
      </c>
      <c r="L178" s="602">
        <f>96000*8</f>
        <v>768000</v>
      </c>
      <c r="M178" s="104">
        <v>7000000</v>
      </c>
      <c r="P178" s="487" t="s">
        <v>146</v>
      </c>
      <c r="Q178" s="487">
        <v>4000000</v>
      </c>
      <c r="T178" s="531"/>
    </row>
    <row r="179" spans="1:20" ht="16.5" customHeight="1">
      <c r="A179" s="671"/>
      <c r="B179" s="672"/>
      <c r="C179" s="639" t="s">
        <v>146</v>
      </c>
      <c r="D179" s="698">
        <v>2990000</v>
      </c>
      <c r="E179" s="539">
        <v>0</v>
      </c>
      <c r="F179" s="785">
        <f t="shared" si="14"/>
        <v>-2990000</v>
      </c>
      <c r="G179" s="775">
        <v>100</v>
      </c>
      <c r="H179" s="250"/>
      <c r="I179" s="554" t="s">
        <v>370</v>
      </c>
      <c r="J179" s="554"/>
      <c r="K179" s="582"/>
      <c r="L179" s="555">
        <v>1766100</v>
      </c>
      <c r="M179" s="105">
        <v>3040000</v>
      </c>
      <c r="Q179" s="202">
        <f>SUM(Q176:Q178)</f>
        <v>14540000</v>
      </c>
      <c r="T179" s="531"/>
    </row>
    <row r="180" spans="1:20" ht="16.5" customHeight="1">
      <c r="A180" s="671"/>
      <c r="B180" s="672"/>
      <c r="C180" s="639"/>
      <c r="D180" s="698"/>
      <c r="E180" s="539"/>
      <c r="F180" s="785"/>
      <c r="G180" s="775">
        <v>0</v>
      </c>
      <c r="H180" s="90"/>
      <c r="I180" s="554" t="s">
        <v>371</v>
      </c>
      <c r="J180" s="554"/>
      <c r="K180" s="582"/>
      <c r="L180" s="555">
        <v>1156000</v>
      </c>
      <c r="M180" s="105">
        <v>3000000</v>
      </c>
      <c r="O180" s="222"/>
      <c r="T180" s="531"/>
    </row>
    <row r="181" spans="1:20" ht="16.5" customHeight="1">
      <c r="A181" s="671"/>
      <c r="B181" s="672"/>
      <c r="C181" s="639"/>
      <c r="D181" s="698"/>
      <c r="E181" s="539"/>
      <c r="F181" s="785"/>
      <c r="G181" s="775">
        <v>0</v>
      </c>
      <c r="H181" s="90"/>
      <c r="I181" s="554"/>
      <c r="J181" s="554"/>
      <c r="K181" s="582"/>
      <c r="L181" s="555"/>
      <c r="M181" s="488">
        <f>L181</f>
        <v>0</v>
      </c>
      <c r="O181" s="222"/>
    </row>
    <row r="182" spans="1:20" ht="16.5" customHeight="1">
      <c r="A182" s="671"/>
      <c r="B182" s="672"/>
      <c r="C182" s="639"/>
      <c r="D182" s="698"/>
      <c r="E182" s="539"/>
      <c r="F182" s="785"/>
      <c r="G182" s="775">
        <v>0</v>
      </c>
      <c r="H182" s="90"/>
      <c r="I182" s="554"/>
      <c r="J182" s="554"/>
      <c r="K182" s="582"/>
      <c r="L182" s="555"/>
      <c r="M182" s="489"/>
      <c r="N182" s="490"/>
      <c r="O182" s="79"/>
      <c r="P182" s="221"/>
      <c r="Q182" s="221"/>
      <c r="R182" s="79"/>
    </row>
    <row r="183" spans="1:20" ht="16.5" customHeight="1">
      <c r="A183" s="671"/>
      <c r="B183" s="672"/>
      <c r="C183" s="639"/>
      <c r="D183" s="720"/>
      <c r="E183" s="539"/>
      <c r="F183" s="785"/>
      <c r="G183" s="775"/>
      <c r="H183" s="90"/>
      <c r="I183" s="552"/>
      <c r="J183" s="552"/>
      <c r="K183" s="553"/>
      <c r="L183" s="556"/>
      <c r="M183" s="489"/>
      <c r="N183" s="490"/>
      <c r="O183" s="79"/>
      <c r="P183" s="221"/>
      <c r="Q183" s="221"/>
      <c r="R183" s="79"/>
    </row>
    <row r="184" spans="1:20" ht="16.5" customHeight="1">
      <c r="A184" s="671"/>
      <c r="B184" s="672"/>
      <c r="C184" s="639"/>
      <c r="D184" s="720"/>
      <c r="E184" s="539"/>
      <c r="F184" s="785"/>
      <c r="G184" s="775"/>
      <c r="H184" s="90"/>
      <c r="I184" s="554"/>
      <c r="J184" s="554"/>
      <c r="K184" s="582"/>
      <c r="L184" s="555"/>
      <c r="M184" s="489"/>
      <c r="N184" s="490"/>
      <c r="O184" s="79"/>
      <c r="P184" s="221"/>
      <c r="Q184" s="221"/>
      <c r="R184" s="79"/>
    </row>
    <row r="185" spans="1:20" ht="16.5" customHeight="1">
      <c r="A185" s="671"/>
      <c r="B185" s="672"/>
      <c r="C185" s="639"/>
      <c r="D185" s="720"/>
      <c r="E185" s="539"/>
      <c r="F185" s="785"/>
      <c r="G185" s="775"/>
      <c r="H185" s="90"/>
      <c r="I185" s="554"/>
      <c r="J185" s="554"/>
      <c r="K185" s="582"/>
      <c r="L185" s="555"/>
      <c r="M185" s="489"/>
      <c r="N185" s="490"/>
      <c r="O185" s="79"/>
      <c r="P185" s="221"/>
      <c r="Q185" s="221"/>
      <c r="R185" s="79"/>
    </row>
    <row r="186" spans="1:20" ht="16.5" customHeight="1">
      <c r="A186" s="671"/>
      <c r="B186" s="672"/>
      <c r="C186" s="639"/>
      <c r="D186" s="720"/>
      <c r="E186" s="539"/>
      <c r="F186" s="785"/>
      <c r="G186" s="775"/>
      <c r="H186" s="90"/>
      <c r="I186" s="554"/>
      <c r="J186" s="554"/>
      <c r="K186" s="582"/>
      <c r="L186" s="555"/>
      <c r="M186" s="489"/>
      <c r="N186" s="490"/>
      <c r="O186" s="79"/>
      <c r="P186" s="221"/>
      <c r="Q186" s="221"/>
      <c r="R186" s="79"/>
    </row>
    <row r="187" spans="1:20" ht="16.5" customHeight="1">
      <c r="A187" s="700"/>
      <c r="B187" s="776"/>
      <c r="C187" s="658" t="s">
        <v>372</v>
      </c>
      <c r="D187" s="781">
        <f>SUM(D188:D190)</f>
        <v>1350000</v>
      </c>
      <c r="E187" s="575">
        <f>SUM(E188:E190)</f>
        <v>0</v>
      </c>
      <c r="F187" s="786">
        <f t="shared" si="14"/>
        <v>-1350000</v>
      </c>
      <c r="G187" s="787">
        <f t="shared" si="13"/>
        <v>-100</v>
      </c>
      <c r="H187" s="387" t="s">
        <v>372</v>
      </c>
      <c r="I187" s="557"/>
      <c r="J187" s="557"/>
      <c r="K187" s="547"/>
      <c r="L187" s="603"/>
      <c r="M187" s="491">
        <f>L187</f>
        <v>0</v>
      </c>
      <c r="N187" s="222">
        <f>SUM(M187:M190)</f>
        <v>0</v>
      </c>
      <c r="P187" s="486" t="s">
        <v>151</v>
      </c>
      <c r="Q187" s="486">
        <v>2000000</v>
      </c>
      <c r="R187" s="178" t="s">
        <v>366</v>
      </c>
    </row>
    <row r="188" spans="1:20" ht="16.5" customHeight="1">
      <c r="A188" s="671"/>
      <c r="B188" s="672"/>
      <c r="C188" s="639" t="s">
        <v>151</v>
      </c>
      <c r="D188" s="720">
        <v>0</v>
      </c>
      <c r="E188" s="522">
        <v>0</v>
      </c>
      <c r="F188" s="710">
        <f t="shared" si="14"/>
        <v>0</v>
      </c>
      <c r="G188" s="788">
        <v>0</v>
      </c>
      <c r="H188" s="252"/>
      <c r="I188" s="558"/>
      <c r="J188" s="559"/>
      <c r="K188" s="553"/>
      <c r="L188" s="602"/>
      <c r="M188" s="491">
        <f t="shared" ref="M188:M189" si="15">L188</f>
        <v>0</v>
      </c>
      <c r="P188" s="486" t="s">
        <v>145</v>
      </c>
      <c r="Q188" s="486">
        <v>12285000</v>
      </c>
    </row>
    <row r="189" spans="1:20" ht="16.5" customHeight="1">
      <c r="A189" s="671"/>
      <c r="B189" s="672"/>
      <c r="C189" s="639" t="s">
        <v>145</v>
      </c>
      <c r="D189" s="720">
        <v>1350000</v>
      </c>
      <c r="E189" s="522">
        <v>0</v>
      </c>
      <c r="F189" s="710">
        <f t="shared" si="14"/>
        <v>-1350000</v>
      </c>
      <c r="G189" s="788">
        <f t="shared" ref="G189:G212" si="16">F189/D189*100</f>
        <v>-100</v>
      </c>
      <c r="H189" s="252"/>
      <c r="I189" s="558"/>
      <c r="J189" s="559"/>
      <c r="K189" s="553"/>
      <c r="L189" s="602"/>
      <c r="M189" s="491">
        <f t="shared" si="15"/>
        <v>0</v>
      </c>
      <c r="P189" s="486" t="s">
        <v>146</v>
      </c>
      <c r="Q189" s="486">
        <v>4000000</v>
      </c>
    </row>
    <row r="190" spans="1:20" ht="16.5" customHeight="1">
      <c r="A190" s="671"/>
      <c r="B190" s="672"/>
      <c r="C190" s="639" t="s">
        <v>146</v>
      </c>
      <c r="D190" s="720">
        <v>0</v>
      </c>
      <c r="E190" s="522">
        <v>0</v>
      </c>
      <c r="F190" s="710">
        <f t="shared" si="14"/>
        <v>0</v>
      </c>
      <c r="G190" s="788">
        <v>0</v>
      </c>
      <c r="H190" s="254"/>
      <c r="I190" s="558"/>
      <c r="J190" s="559"/>
      <c r="K190" s="553"/>
      <c r="L190" s="602"/>
      <c r="M190" s="492">
        <v>0</v>
      </c>
      <c r="N190" s="493">
        <f>SUM(M188:M190)</f>
        <v>0</v>
      </c>
      <c r="O190" s="494" t="s">
        <v>373</v>
      </c>
      <c r="P190" s="475"/>
      <c r="Q190" s="475">
        <f>SUM(Q187:Q189)</f>
        <v>18285000</v>
      </c>
      <c r="R190" s="474"/>
    </row>
    <row r="191" spans="1:20" ht="16.5" customHeight="1">
      <c r="A191" s="671"/>
      <c r="B191" s="672"/>
      <c r="C191" s="658" t="s">
        <v>374</v>
      </c>
      <c r="D191" s="721">
        <f>SUM(D192:D194)</f>
        <v>21000000</v>
      </c>
      <c r="E191" s="521">
        <f>SUM(E192:E194)</f>
        <v>7890600</v>
      </c>
      <c r="F191" s="778">
        <f t="shared" si="14"/>
        <v>-13109400</v>
      </c>
      <c r="G191" s="692">
        <f t="shared" si="16"/>
        <v>-62.425714285714285</v>
      </c>
      <c r="H191" s="387" t="s">
        <v>374</v>
      </c>
      <c r="I191" s="557" t="s">
        <v>375</v>
      </c>
      <c r="J191" s="604"/>
      <c r="K191" s="605"/>
      <c r="L191" s="561">
        <f>1980600+1500000</f>
        <v>3480600</v>
      </c>
      <c r="M191" s="491">
        <f>L191</f>
        <v>3480600</v>
      </c>
      <c r="N191" s="222">
        <f>SUM(M191:M194)</f>
        <v>7890600</v>
      </c>
      <c r="P191" s="486" t="s">
        <v>151</v>
      </c>
      <c r="Q191" s="486">
        <v>7000000</v>
      </c>
      <c r="R191" s="178" t="s">
        <v>366</v>
      </c>
    </row>
    <row r="192" spans="1:20" ht="16.5" customHeight="1">
      <c r="A192" s="671"/>
      <c r="B192" s="672"/>
      <c r="C192" s="639" t="s">
        <v>151</v>
      </c>
      <c r="D192" s="720">
        <v>0</v>
      </c>
      <c r="E192" s="522">
        <f>SUM(L191:L192)</f>
        <v>7890600</v>
      </c>
      <c r="F192" s="710">
        <f t="shared" si="14"/>
        <v>7890600</v>
      </c>
      <c r="G192" s="677">
        <v>0</v>
      </c>
      <c r="H192" s="249"/>
      <c r="I192" s="606" t="s">
        <v>376</v>
      </c>
      <c r="J192" s="559"/>
      <c r="K192" s="553"/>
      <c r="L192" s="543">
        <v>4410000</v>
      </c>
      <c r="M192" s="491">
        <f>L192</f>
        <v>4410000</v>
      </c>
      <c r="P192" s="486" t="s">
        <v>145</v>
      </c>
      <c r="Q192" s="486">
        <v>2466000</v>
      </c>
      <c r="T192" s="79"/>
    </row>
    <row r="193" spans="1:18" s="79" customFormat="1" ht="16.5" customHeight="1">
      <c r="A193" s="671"/>
      <c r="B193" s="672"/>
      <c r="C193" s="639" t="s">
        <v>145</v>
      </c>
      <c r="D193" s="720">
        <v>21000000</v>
      </c>
      <c r="E193" s="522">
        <v>0</v>
      </c>
      <c r="F193" s="710">
        <f t="shared" si="14"/>
        <v>-21000000</v>
      </c>
      <c r="G193" s="677">
        <f t="shared" si="16"/>
        <v>-100</v>
      </c>
      <c r="H193" s="250"/>
      <c r="I193" s="600"/>
      <c r="J193" s="600"/>
      <c r="K193" s="553"/>
      <c r="L193" s="543"/>
      <c r="M193" s="489">
        <f>L193</f>
        <v>0</v>
      </c>
      <c r="N193" s="495">
        <f>SUM(M192:M193)</f>
        <v>4410000</v>
      </c>
      <c r="O193" s="496" t="s">
        <v>373</v>
      </c>
      <c r="P193" s="486" t="s">
        <v>146</v>
      </c>
      <c r="Q193" s="487">
        <v>0</v>
      </c>
    </row>
    <row r="194" spans="1:18" ht="16.5" customHeight="1">
      <c r="A194" s="671"/>
      <c r="B194" s="672"/>
      <c r="C194" s="666" t="s">
        <v>146</v>
      </c>
      <c r="D194" s="725">
        <v>0</v>
      </c>
      <c r="E194" s="571">
        <v>0</v>
      </c>
      <c r="F194" s="726">
        <f t="shared" si="14"/>
        <v>0</v>
      </c>
      <c r="G194" s="677">
        <v>0</v>
      </c>
      <c r="H194" s="255"/>
      <c r="I194" s="560"/>
      <c r="J194" s="586"/>
      <c r="K194" s="607"/>
      <c r="L194" s="544"/>
      <c r="M194" s="473"/>
      <c r="N194" s="474"/>
      <c r="O194" s="474"/>
      <c r="P194" s="475"/>
      <c r="Q194" s="475">
        <f>SUM(Q191:Q193)</f>
        <v>9466000</v>
      </c>
      <c r="R194" s="474"/>
    </row>
    <row r="195" spans="1:18" ht="16.5" customHeight="1">
      <c r="A195" s="671"/>
      <c r="B195" s="672"/>
      <c r="C195" s="658" t="s">
        <v>377</v>
      </c>
      <c r="D195" s="721">
        <f>SUM(D196:D198)</f>
        <v>420000</v>
      </c>
      <c r="E195" s="521">
        <f>SUM(L195:L198)</f>
        <v>0</v>
      </c>
      <c r="F195" s="778">
        <f t="shared" si="14"/>
        <v>-420000</v>
      </c>
      <c r="G195" s="677">
        <f t="shared" si="16"/>
        <v>-100</v>
      </c>
      <c r="H195" s="387" t="s">
        <v>377</v>
      </c>
      <c r="I195" s="557"/>
      <c r="J195" s="604"/>
      <c r="K195" s="605"/>
      <c r="L195" s="561"/>
      <c r="M195" s="216"/>
      <c r="N195" s="79"/>
      <c r="O195" s="79"/>
      <c r="P195" s="221"/>
      <c r="Q195" s="221"/>
      <c r="R195" s="79"/>
    </row>
    <row r="196" spans="1:18" ht="16.5" customHeight="1">
      <c r="A196" s="671"/>
      <c r="B196" s="672"/>
      <c r="C196" s="639" t="s">
        <v>151</v>
      </c>
      <c r="D196" s="720">
        <v>0</v>
      </c>
      <c r="E196" s="522"/>
      <c r="F196" s="710">
        <f t="shared" si="14"/>
        <v>0</v>
      </c>
      <c r="G196" s="677">
        <v>0</v>
      </c>
      <c r="H196" s="249"/>
      <c r="I196" s="606"/>
      <c r="J196" s="559"/>
      <c r="K196" s="553"/>
      <c r="L196" s="543"/>
      <c r="M196" s="216"/>
      <c r="N196" s="79"/>
      <c r="O196" s="79"/>
      <c r="P196" s="221"/>
      <c r="Q196" s="221"/>
      <c r="R196" s="79"/>
    </row>
    <row r="197" spans="1:18" ht="16.5" customHeight="1">
      <c r="A197" s="671"/>
      <c r="B197" s="672"/>
      <c r="C197" s="639" t="s">
        <v>145</v>
      </c>
      <c r="D197" s="720">
        <v>420000</v>
      </c>
      <c r="E197" s="522">
        <v>0</v>
      </c>
      <c r="F197" s="710">
        <f t="shared" si="14"/>
        <v>-420000</v>
      </c>
      <c r="G197" s="677">
        <f t="shared" si="16"/>
        <v>-100</v>
      </c>
      <c r="H197" s="250"/>
      <c r="I197" s="600"/>
      <c r="J197" s="600"/>
      <c r="K197" s="553"/>
      <c r="L197" s="543"/>
      <c r="M197" s="216"/>
      <c r="N197" s="79"/>
      <c r="O197" s="79"/>
      <c r="P197" s="221"/>
      <c r="Q197" s="221"/>
      <c r="R197" s="79"/>
    </row>
    <row r="198" spans="1:18" ht="16.5" customHeight="1">
      <c r="A198" s="671"/>
      <c r="B198" s="672"/>
      <c r="C198" s="666" t="s">
        <v>146</v>
      </c>
      <c r="D198" s="725">
        <v>0</v>
      </c>
      <c r="E198" s="571"/>
      <c r="F198" s="726">
        <f t="shared" si="14"/>
        <v>0</v>
      </c>
      <c r="G198" s="677">
        <v>0</v>
      </c>
      <c r="H198" s="255"/>
      <c r="I198" s="560"/>
      <c r="J198" s="586"/>
      <c r="K198" s="607"/>
      <c r="L198" s="544"/>
      <c r="M198" s="216"/>
      <c r="N198" s="79"/>
      <c r="O198" s="79"/>
      <c r="P198" s="221"/>
      <c r="Q198" s="221"/>
      <c r="R198" s="79"/>
    </row>
    <row r="199" spans="1:18" ht="16.5" customHeight="1">
      <c r="A199" s="671"/>
      <c r="B199" s="672"/>
      <c r="C199" s="673" t="s">
        <v>378</v>
      </c>
      <c r="D199" s="789">
        <f>SUM(D200:D202)</f>
        <v>100000</v>
      </c>
      <c r="E199" s="576">
        <f>SUM(E200:E202)</f>
        <v>3225000</v>
      </c>
      <c r="F199" s="710">
        <f t="shared" si="14"/>
        <v>3125000</v>
      </c>
      <c r="G199" s="790">
        <f t="shared" si="16"/>
        <v>3125</v>
      </c>
      <c r="H199" s="388" t="s">
        <v>378</v>
      </c>
      <c r="I199" s="608" t="s">
        <v>379</v>
      </c>
      <c r="J199" s="562"/>
      <c r="K199" s="609" t="s">
        <v>380</v>
      </c>
      <c r="L199" s="543">
        <v>3225000</v>
      </c>
      <c r="M199" s="491">
        <f>L199</f>
        <v>3225000</v>
      </c>
      <c r="N199" s="222">
        <f>SUM(M199:M200)</f>
        <v>3225000</v>
      </c>
      <c r="P199" s="486" t="s">
        <v>151</v>
      </c>
      <c r="Q199" s="486">
        <v>0</v>
      </c>
    </row>
    <row r="200" spans="1:18" ht="16.5" customHeight="1">
      <c r="A200" s="671"/>
      <c r="B200" s="672"/>
      <c r="C200" s="639" t="s">
        <v>151</v>
      </c>
      <c r="D200" s="791">
        <v>0</v>
      </c>
      <c r="E200" s="522">
        <f>SUM(L199:L202)-E202</f>
        <v>2225000</v>
      </c>
      <c r="F200" s="710">
        <f>E200-D200</f>
        <v>2225000</v>
      </c>
      <c r="G200" s="788">
        <v>100</v>
      </c>
      <c r="H200" s="256"/>
      <c r="I200" s="610"/>
      <c r="J200" s="562"/>
      <c r="K200" s="611"/>
      <c r="L200" s="543"/>
      <c r="M200" s="488">
        <f>L200</f>
        <v>0</v>
      </c>
      <c r="P200" s="486" t="s">
        <v>145</v>
      </c>
      <c r="Q200" s="486">
        <v>13313400</v>
      </c>
    </row>
    <row r="201" spans="1:18" ht="16.5" customHeight="1">
      <c r="A201" s="671"/>
      <c r="B201" s="672"/>
      <c r="C201" s="639" t="s">
        <v>145</v>
      </c>
      <c r="D201" s="791">
        <v>100000</v>
      </c>
      <c r="E201" s="522"/>
      <c r="F201" s="710">
        <f>E201-D201</f>
        <v>-100000</v>
      </c>
      <c r="G201" s="788">
        <f t="shared" si="16"/>
        <v>-100</v>
      </c>
      <c r="H201" s="256"/>
      <c r="I201" s="610"/>
      <c r="J201" s="562"/>
      <c r="K201" s="611"/>
      <c r="L201" s="543"/>
      <c r="P201" s="486" t="s">
        <v>146</v>
      </c>
      <c r="Q201" s="486">
        <v>64150000</v>
      </c>
    </row>
    <row r="202" spans="1:18" ht="16.5" customHeight="1">
      <c r="A202" s="671"/>
      <c r="B202" s="672"/>
      <c r="C202" s="666" t="s">
        <v>146</v>
      </c>
      <c r="D202" s="792"/>
      <c r="E202" s="571">
        <v>1000000</v>
      </c>
      <c r="F202" s="726">
        <f>E202-D202</f>
        <v>1000000</v>
      </c>
      <c r="G202" s="793">
        <v>100</v>
      </c>
      <c r="H202" s="319"/>
      <c r="I202" s="612"/>
      <c r="J202" s="563"/>
      <c r="K202" s="613"/>
      <c r="L202" s="544"/>
      <c r="M202" s="473"/>
      <c r="N202" s="474"/>
      <c r="O202" s="474"/>
      <c r="P202" s="475"/>
      <c r="Q202" s="475"/>
      <c r="R202" s="474"/>
    </row>
    <row r="203" spans="1:18" ht="16.5" customHeight="1">
      <c r="A203" s="794"/>
      <c r="B203" s="672" t="s">
        <v>156</v>
      </c>
      <c r="C203" s="795" t="s">
        <v>381</v>
      </c>
      <c r="D203" s="789">
        <f>SUM(D204:D206)</f>
        <v>0</v>
      </c>
      <c r="E203" s="577">
        <f>SUM(E204:E206)</f>
        <v>1800000</v>
      </c>
      <c r="F203" s="710">
        <f>E203-D203</f>
        <v>1800000</v>
      </c>
      <c r="G203" s="788">
        <v>0</v>
      </c>
      <c r="H203" s="386" t="s">
        <v>381</v>
      </c>
      <c r="I203" s="614" t="s">
        <v>382</v>
      </c>
      <c r="J203" s="615"/>
      <c r="K203" s="542" t="s">
        <v>383</v>
      </c>
      <c r="L203" s="616">
        <f>360000*5</f>
        <v>1800000</v>
      </c>
      <c r="M203" s="491">
        <f>L203</f>
        <v>1800000</v>
      </c>
      <c r="N203" s="222"/>
      <c r="P203" s="486" t="s">
        <v>151</v>
      </c>
      <c r="Q203" s="486">
        <v>6520300</v>
      </c>
    </row>
    <row r="204" spans="1:18" ht="16.5" customHeight="1">
      <c r="A204" s="794"/>
      <c r="B204" s="672"/>
      <c r="C204" s="796" t="s">
        <v>151</v>
      </c>
      <c r="D204" s="720">
        <v>0</v>
      </c>
      <c r="E204" s="522">
        <f>L203</f>
        <v>1800000</v>
      </c>
      <c r="F204" s="710">
        <f>E204-D204</f>
        <v>1800000</v>
      </c>
      <c r="G204" s="677">
        <v>0</v>
      </c>
      <c r="H204" s="214"/>
      <c r="I204" s="606"/>
      <c r="J204" s="559"/>
      <c r="K204" s="553"/>
      <c r="L204" s="543"/>
      <c r="P204" s="486" t="s">
        <v>145</v>
      </c>
      <c r="Q204" s="486">
        <v>18872560</v>
      </c>
    </row>
    <row r="205" spans="1:18" ht="16.5" customHeight="1">
      <c r="A205" s="794"/>
      <c r="B205" s="797"/>
      <c r="C205" s="584" t="s">
        <v>145</v>
      </c>
      <c r="D205" s="798">
        <v>0</v>
      </c>
      <c r="E205" s="522">
        <v>0</v>
      </c>
      <c r="F205" s="710">
        <f t="shared" si="14"/>
        <v>0</v>
      </c>
      <c r="G205" s="677">
        <v>0</v>
      </c>
      <c r="H205" s="214"/>
      <c r="I205" s="610"/>
      <c r="J205" s="562"/>
      <c r="K205" s="611"/>
      <c r="L205" s="543"/>
      <c r="P205" s="486" t="s">
        <v>146</v>
      </c>
      <c r="Q205" s="486">
        <v>41071100</v>
      </c>
    </row>
    <row r="206" spans="1:18" ht="16.5" customHeight="1">
      <c r="A206" s="794"/>
      <c r="B206" s="797"/>
      <c r="C206" s="666" t="s">
        <v>146</v>
      </c>
      <c r="D206" s="725">
        <v>0</v>
      </c>
      <c r="E206" s="571">
        <v>0</v>
      </c>
      <c r="F206" s="726">
        <f t="shared" si="14"/>
        <v>0</v>
      </c>
      <c r="G206" s="793">
        <v>0</v>
      </c>
      <c r="H206" s="215"/>
      <c r="I206" s="612"/>
      <c r="J206" s="563"/>
      <c r="K206" s="613"/>
      <c r="L206" s="544"/>
      <c r="Q206" s="202">
        <f>SUM(Q203:Q205)</f>
        <v>66463960</v>
      </c>
    </row>
    <row r="207" spans="1:18" ht="16.5" customHeight="1">
      <c r="A207" s="794"/>
      <c r="B207" s="799"/>
      <c r="C207" s="673" t="s">
        <v>384</v>
      </c>
      <c r="D207" s="789">
        <f>SUM(D208:D210)</f>
        <v>1800000</v>
      </c>
      <c r="E207" s="577">
        <f>SUM(E208:E210)</f>
        <v>1463830</v>
      </c>
      <c r="F207" s="655">
        <f>E207-D207</f>
        <v>-336170</v>
      </c>
      <c r="G207" s="677">
        <f t="shared" si="16"/>
        <v>-18.676111111111108</v>
      </c>
      <c r="H207" s="188" t="s">
        <v>384</v>
      </c>
      <c r="I207" s="545" t="s">
        <v>385</v>
      </c>
      <c r="J207" s="545"/>
      <c r="K207" s="542" t="s">
        <v>386</v>
      </c>
      <c r="L207" s="543">
        <v>720000</v>
      </c>
      <c r="M207" s="221">
        <v>1250000</v>
      </c>
      <c r="N207" s="222">
        <f>SUM(L207:L211)</f>
        <v>1463830</v>
      </c>
      <c r="P207" s="202" t="s">
        <v>151</v>
      </c>
      <c r="Q207" s="202">
        <v>0</v>
      </c>
    </row>
    <row r="208" spans="1:18" ht="16.5" customHeight="1">
      <c r="A208" s="794"/>
      <c r="B208" s="799"/>
      <c r="C208" s="639" t="s">
        <v>151</v>
      </c>
      <c r="D208" s="539">
        <v>1800000</v>
      </c>
      <c r="E208" s="522">
        <f>SUM(L207:L211)</f>
        <v>1463830</v>
      </c>
      <c r="F208" s="655">
        <f>E208-D208</f>
        <v>-336170</v>
      </c>
      <c r="G208" s="677">
        <f t="shared" si="16"/>
        <v>-18.676111111111108</v>
      </c>
      <c r="H208" s="188"/>
      <c r="I208" s="545" t="s">
        <v>387</v>
      </c>
      <c r="J208" s="545"/>
      <c r="K208" s="542" t="s">
        <v>388</v>
      </c>
      <c r="L208" s="543">
        <v>83830</v>
      </c>
      <c r="M208" s="221"/>
      <c r="N208" s="222"/>
    </row>
    <row r="209" spans="1:21" ht="16.5" customHeight="1">
      <c r="A209" s="794"/>
      <c r="B209" s="799"/>
      <c r="C209" s="584" t="s">
        <v>145</v>
      </c>
      <c r="D209" s="698">
        <v>0</v>
      </c>
      <c r="E209" s="522">
        <v>0</v>
      </c>
      <c r="F209" s="655">
        <f>E209-D209</f>
        <v>0</v>
      </c>
      <c r="G209" s="677">
        <v>0</v>
      </c>
      <c r="H209" s="188"/>
      <c r="I209" s="610" t="s">
        <v>389</v>
      </c>
      <c r="J209" s="583"/>
      <c r="K209" s="564" t="s">
        <v>390</v>
      </c>
      <c r="L209" s="543">
        <v>500000</v>
      </c>
      <c r="M209" s="221">
        <v>396000</v>
      </c>
      <c r="P209" s="202" t="s">
        <v>145</v>
      </c>
      <c r="Q209" s="202">
        <v>700000</v>
      </c>
    </row>
    <row r="210" spans="1:21" ht="16.5" customHeight="1">
      <c r="A210" s="794"/>
      <c r="B210" s="799"/>
      <c r="C210" s="639" t="s">
        <v>146</v>
      </c>
      <c r="D210" s="698">
        <v>0</v>
      </c>
      <c r="E210" s="522">
        <v>0</v>
      </c>
      <c r="F210" s="655">
        <f>E210-D210</f>
        <v>0</v>
      </c>
      <c r="G210" s="677">
        <v>0</v>
      </c>
      <c r="H210" s="188"/>
      <c r="I210" s="610" t="s">
        <v>391</v>
      </c>
      <c r="J210" s="583"/>
      <c r="K210" s="564"/>
      <c r="L210" s="543">
        <v>160000</v>
      </c>
      <c r="M210" s="221">
        <v>2618000</v>
      </c>
      <c r="P210" s="202" t="s">
        <v>146</v>
      </c>
      <c r="Q210" s="202">
        <v>7320000</v>
      </c>
    </row>
    <row r="211" spans="1:21" s="79" customFormat="1" ht="16.5" customHeight="1">
      <c r="A211" s="794"/>
      <c r="B211" s="799"/>
      <c r="C211" s="639"/>
      <c r="D211" s="698"/>
      <c r="E211" s="522"/>
      <c r="F211" s="655"/>
      <c r="G211" s="677"/>
      <c r="H211" s="188"/>
      <c r="I211" s="617"/>
      <c r="J211" s="618"/>
      <c r="K211" s="565"/>
      <c r="L211" s="546"/>
      <c r="M211" s="221">
        <v>864000</v>
      </c>
      <c r="P211" s="221"/>
      <c r="Q211" s="221">
        <f>SUM(Q207:Q210)</f>
        <v>8020000</v>
      </c>
    </row>
    <row r="212" spans="1:21" ht="16.5" customHeight="1">
      <c r="A212" s="800" t="s">
        <v>392</v>
      </c>
      <c r="B212" s="801" t="s">
        <v>392</v>
      </c>
      <c r="C212" s="802" t="s">
        <v>393</v>
      </c>
      <c r="D212" s="702">
        <v>16259830</v>
      </c>
      <c r="E212" s="578">
        <f>SUM(L212:L213)</f>
        <v>0</v>
      </c>
      <c r="F212" s="652">
        <f>E212-D212</f>
        <v>-16259830</v>
      </c>
      <c r="G212" s="687">
        <f t="shared" si="16"/>
        <v>-100</v>
      </c>
      <c r="H212" s="217" t="s">
        <v>394</v>
      </c>
      <c r="I212" s="803" t="s">
        <v>395</v>
      </c>
      <c r="J212" s="804"/>
      <c r="K212" s="583"/>
      <c r="L212" s="543">
        <v>0</v>
      </c>
      <c r="M212" s="468">
        <v>250000</v>
      </c>
      <c r="P212" s="202" t="s">
        <v>151</v>
      </c>
      <c r="Q212" s="202">
        <v>250000</v>
      </c>
    </row>
    <row r="213" spans="1:21" ht="16.5" customHeight="1">
      <c r="A213" s="805"/>
      <c r="B213" s="806"/>
      <c r="C213" s="807"/>
      <c r="D213" s="718"/>
      <c r="E213" s="579"/>
      <c r="F213" s="655"/>
      <c r="G213" s="808"/>
      <c r="H213" s="213"/>
      <c r="I213" s="610" t="s">
        <v>396</v>
      </c>
      <c r="J213" s="583"/>
      <c r="K213" s="583"/>
      <c r="L213" s="543">
        <v>0</v>
      </c>
    </row>
    <row r="214" spans="1:21" ht="16.5" customHeight="1">
      <c r="A214" s="809"/>
      <c r="B214" s="810"/>
      <c r="C214" s="811" t="s">
        <v>392</v>
      </c>
      <c r="D214" s="812">
        <v>0</v>
      </c>
      <c r="E214" s="580">
        <v>50000</v>
      </c>
      <c r="F214" s="813">
        <f>E214-D214</f>
        <v>50000</v>
      </c>
      <c r="G214" s="814">
        <v>0</v>
      </c>
      <c r="H214" s="218" t="s">
        <v>397</v>
      </c>
      <c r="I214" s="815"/>
      <c r="J214" s="816"/>
      <c r="K214" s="816"/>
      <c r="L214" s="817">
        <v>50000</v>
      </c>
      <c r="M214" s="468">
        <v>0</v>
      </c>
    </row>
    <row r="215" spans="1:21" ht="16.5" customHeight="1">
      <c r="A215" s="818" t="s">
        <v>398</v>
      </c>
      <c r="B215" s="819" t="s">
        <v>398</v>
      </c>
      <c r="C215" s="820" t="s">
        <v>399</v>
      </c>
      <c r="D215" s="821">
        <v>0</v>
      </c>
      <c r="E215" s="581"/>
      <c r="F215" s="822">
        <f>E215-D215</f>
        <v>0</v>
      </c>
      <c r="G215" s="823">
        <v>0</v>
      </c>
      <c r="H215" s="120" t="s">
        <v>398</v>
      </c>
      <c r="I215" s="824"/>
      <c r="J215" s="825"/>
      <c r="K215" s="825"/>
      <c r="L215" s="826">
        <v>0</v>
      </c>
      <c r="M215" s="468">
        <v>2000000</v>
      </c>
    </row>
    <row r="222" spans="1:21" s="179" customFormat="1" ht="16.5" customHeight="1">
      <c r="A222" s="178"/>
      <c r="B222" s="178"/>
      <c r="C222" s="79"/>
      <c r="F222" s="178"/>
      <c r="G222" s="178"/>
      <c r="H222" s="178"/>
      <c r="I222" s="481"/>
      <c r="J222" s="178"/>
      <c r="K222" s="178"/>
      <c r="L222" s="80"/>
      <c r="M222" s="468"/>
      <c r="N222" s="178"/>
      <c r="O222" s="178"/>
      <c r="P222" s="202"/>
      <c r="Q222" s="202"/>
      <c r="R222" s="178"/>
      <c r="S222" s="178"/>
      <c r="T222" s="178"/>
      <c r="U222" s="178"/>
    </row>
    <row r="223" spans="1:21" s="179" customFormat="1" ht="16.5" customHeight="1">
      <c r="A223" s="178"/>
      <c r="B223" s="178"/>
      <c r="C223" s="79"/>
      <c r="F223" s="178"/>
      <c r="G223" s="178"/>
      <c r="H223" s="178"/>
      <c r="I223" s="481"/>
      <c r="J223" s="178"/>
      <c r="K223" s="178"/>
      <c r="L223" s="80"/>
      <c r="M223" s="468"/>
      <c r="N223" s="178"/>
      <c r="O223" s="178"/>
      <c r="P223" s="202"/>
      <c r="Q223" s="202"/>
      <c r="R223" s="178"/>
      <c r="S223" s="178"/>
      <c r="T223" s="178"/>
      <c r="U223" s="178"/>
    </row>
    <row r="230" spans="4:17" ht="16.5" customHeight="1">
      <c r="D230" s="178"/>
      <c r="I230" s="178"/>
      <c r="L230" s="178"/>
      <c r="M230" s="178"/>
      <c r="P230" s="178"/>
      <c r="Q230" s="178"/>
    </row>
    <row r="231" spans="4:17" ht="16.5" customHeight="1">
      <c r="D231" s="178"/>
      <c r="E231" s="258">
        <v>16209830</v>
      </c>
      <c r="I231" s="178"/>
      <c r="L231" s="178"/>
      <c r="M231" s="178"/>
      <c r="P231" s="178"/>
      <c r="Q231" s="178"/>
    </row>
  </sheetData>
  <mergeCells count="11">
    <mergeCell ref="K1:L1"/>
    <mergeCell ref="A2:A3"/>
    <mergeCell ref="B2:B3"/>
    <mergeCell ref="C2:C3"/>
    <mergeCell ref="F2:G2"/>
    <mergeCell ref="H2:L3"/>
    <mergeCell ref="A4:C4"/>
    <mergeCell ref="A5:C5"/>
    <mergeCell ref="A6:C6"/>
    <mergeCell ref="A7:C7"/>
    <mergeCell ref="J91:K91"/>
  </mergeCells>
  <phoneticPr fontId="2" type="noConversion"/>
  <printOptions horizontalCentered="1"/>
  <pageMargins left="0.31496062992125984" right="7.874015748031496E-2" top="0.51181102362204722" bottom="0.39370078740157483" header="0.23622047244094491" footer="0.11811023622047245"/>
  <pageSetup paperSize="9" scale="82" fitToHeight="0" orientation="landscape" r:id="rId1"/>
  <headerFooter alignWithMargins="0"/>
  <rowBreaks count="4" manualBreakCount="4">
    <brk id="27" max="11" man="1"/>
    <brk id="55" max="11" man="1"/>
    <brk id="134" max="11" man="1"/>
    <brk id="19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view="pageBreakPreview" topLeftCell="B1" zoomScaleSheetLayoutView="100" workbookViewId="0">
      <pane xSplit="10" ySplit="15" topLeftCell="L139" activePane="bottomRight" state="frozen"/>
      <selection activeCell="B1" sqref="B1"/>
      <selection pane="topRight" activeCell="L1" sqref="L1"/>
      <selection pane="bottomLeft" activeCell="B16" sqref="B16"/>
      <selection pane="bottomRight" activeCell="D51" sqref="D51"/>
    </sheetView>
  </sheetViews>
  <sheetFormatPr defaultColWidth="8.88671875" defaultRowHeight="16.5" customHeight="1"/>
  <cols>
    <col min="1" max="1" width="7" style="123" customWidth="1"/>
    <col min="2" max="2" width="8" style="123" bestFit="1" customWidth="1"/>
    <col min="3" max="3" width="15.77734375" style="123" customWidth="1"/>
    <col min="4" max="4" width="10.88671875" style="123" customWidth="1"/>
    <col min="5" max="5" width="11.33203125" style="144" customWidth="1"/>
    <col min="6" max="6" width="10.6640625" style="123" customWidth="1"/>
    <col min="7" max="7" width="8" style="123" customWidth="1"/>
    <col min="8" max="8" width="8.77734375" style="123" customWidth="1"/>
    <col min="9" max="9" width="11.109375" style="123" customWidth="1"/>
    <col min="10" max="10" width="12.21875" style="123" bestFit="1" customWidth="1"/>
    <col min="11" max="11" width="11.88671875" style="123" customWidth="1"/>
    <col min="12" max="12" width="12" style="123" customWidth="1"/>
    <col min="13" max="13" width="10.33203125" style="123" customWidth="1"/>
    <col min="14" max="14" width="8.21875" style="123" customWidth="1"/>
    <col min="15" max="15" width="8.88671875" style="123"/>
    <col min="16" max="16" width="14.44140625" style="123" customWidth="1"/>
    <col min="17" max="16384" width="8.88671875" style="123"/>
  </cols>
  <sheetData>
    <row r="1" spans="1:16" ht="16.5" customHeight="1">
      <c r="A1" s="128"/>
      <c r="B1" s="128"/>
      <c r="C1" s="128"/>
      <c r="D1" s="128"/>
      <c r="E1" s="176"/>
      <c r="F1" s="128"/>
      <c r="G1" s="128"/>
      <c r="H1" s="128"/>
      <c r="I1" s="128"/>
      <c r="J1" s="128"/>
      <c r="K1" s="128"/>
      <c r="L1" s="128"/>
      <c r="M1" s="128"/>
      <c r="N1" s="128"/>
    </row>
    <row r="2" spans="1:16" ht="26.25">
      <c r="A2" s="899" t="s">
        <v>111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137"/>
    </row>
    <row r="3" spans="1:16" ht="16.5" customHeight="1" thickBot="1">
      <c r="A3" s="901" t="s">
        <v>58</v>
      </c>
      <c r="B3" s="901"/>
      <c r="C3" s="422"/>
      <c r="D3" s="423"/>
      <c r="E3" s="398"/>
      <c r="F3" s="423"/>
      <c r="G3" s="260"/>
      <c r="H3" s="260"/>
      <c r="I3" s="260"/>
      <c r="J3" s="424"/>
      <c r="K3" s="423"/>
      <c r="L3" s="423"/>
      <c r="M3" s="904" t="s">
        <v>60</v>
      </c>
      <c r="N3" s="904"/>
    </row>
    <row r="4" spans="1:16" ht="16.5" customHeight="1">
      <c r="A4" s="909" t="s">
        <v>73</v>
      </c>
      <c r="B4" s="910"/>
      <c r="C4" s="910"/>
      <c r="D4" s="910"/>
      <c r="E4" s="910"/>
      <c r="F4" s="910"/>
      <c r="G4" s="910"/>
      <c r="H4" s="884" t="s">
        <v>74</v>
      </c>
      <c r="I4" s="885"/>
      <c r="J4" s="885"/>
      <c r="K4" s="885"/>
      <c r="L4" s="885"/>
      <c r="M4" s="885"/>
      <c r="N4" s="886"/>
    </row>
    <row r="5" spans="1:16" ht="30.75" customHeight="1">
      <c r="A5" s="905" t="s">
        <v>0</v>
      </c>
      <c r="B5" s="856" t="s">
        <v>1</v>
      </c>
      <c r="C5" s="858" t="s">
        <v>2</v>
      </c>
      <c r="D5" s="502" t="s">
        <v>110</v>
      </c>
      <c r="E5" s="503" t="s">
        <v>109</v>
      </c>
      <c r="F5" s="840" t="s">
        <v>3</v>
      </c>
      <c r="G5" s="841"/>
      <c r="H5" s="907" t="s">
        <v>0</v>
      </c>
      <c r="I5" s="876" t="s">
        <v>1</v>
      </c>
      <c r="J5" s="877" t="s">
        <v>2</v>
      </c>
      <c r="K5" s="502" t="s">
        <v>110</v>
      </c>
      <c r="L5" s="503" t="s">
        <v>109</v>
      </c>
      <c r="M5" s="878" t="s">
        <v>3</v>
      </c>
      <c r="N5" s="900"/>
    </row>
    <row r="6" spans="1:16" ht="16.5" customHeight="1">
      <c r="A6" s="906"/>
      <c r="B6" s="857"/>
      <c r="C6" s="859"/>
      <c r="D6" s="501" t="s">
        <v>4</v>
      </c>
      <c r="E6" s="223" t="s">
        <v>5</v>
      </c>
      <c r="F6" s="262" t="s">
        <v>6</v>
      </c>
      <c r="G6" s="263" t="s">
        <v>13</v>
      </c>
      <c r="H6" s="908"/>
      <c r="I6" s="857"/>
      <c r="J6" s="859"/>
      <c r="K6" s="501" t="s">
        <v>4</v>
      </c>
      <c r="L6" s="223" t="s">
        <v>5</v>
      </c>
      <c r="M6" s="138" t="s">
        <v>6</v>
      </c>
      <c r="N6" s="425" t="s">
        <v>13</v>
      </c>
      <c r="P6" s="123" t="s">
        <v>105</v>
      </c>
    </row>
    <row r="7" spans="1:16" ht="19.5" customHeight="1">
      <c r="A7" s="903" t="s">
        <v>36</v>
      </c>
      <c r="B7" s="852"/>
      <c r="C7" s="853"/>
      <c r="D7" s="334">
        <f>SUM(D8:D10)</f>
        <v>565775447</v>
      </c>
      <c r="E7" s="339">
        <f>SUM(E8:E10)</f>
        <v>563675447</v>
      </c>
      <c r="F7" s="264">
        <f t="shared" ref="F7:F18" si="0">E7-D7</f>
        <v>-2100000</v>
      </c>
      <c r="G7" s="265">
        <f>F7/D7*100</f>
        <v>-0.37117199255202038</v>
      </c>
      <c r="H7" s="902" t="s">
        <v>22</v>
      </c>
      <c r="I7" s="852"/>
      <c r="J7" s="853"/>
      <c r="K7" s="183">
        <f>SUM(K8:K10)</f>
        <v>565775447</v>
      </c>
      <c r="L7" s="184">
        <f>SUM(L8:L10)</f>
        <v>563675447</v>
      </c>
      <c r="M7" s="185">
        <f t="shared" ref="M7:M22" si="1">L7-K7</f>
        <v>-2100000</v>
      </c>
      <c r="N7" s="426">
        <f t="shared" ref="N7:N22" si="2">M7/K7*100</f>
        <v>-0.37117199255202038</v>
      </c>
      <c r="P7" s="466">
        <f>E7-L7</f>
        <v>0</v>
      </c>
    </row>
    <row r="8" spans="1:16" ht="19.5" customHeight="1">
      <c r="A8" s="893" t="s">
        <v>23</v>
      </c>
      <c r="B8" s="843"/>
      <c r="C8" s="844"/>
      <c r="D8" s="334">
        <f>D12+D26</f>
        <v>527675447</v>
      </c>
      <c r="E8" s="339">
        <f>E12+E26</f>
        <v>557675447</v>
      </c>
      <c r="F8" s="264">
        <f t="shared" si="0"/>
        <v>30000000</v>
      </c>
      <c r="G8" s="265">
        <f t="shared" ref="G8:G10" si="3">F8/D8*100</f>
        <v>5.6853128510260209</v>
      </c>
      <c r="H8" s="890" t="s">
        <v>23</v>
      </c>
      <c r="I8" s="891"/>
      <c r="J8" s="892"/>
      <c r="K8" s="448">
        <f>SUM(K12,K85,K101,K137)</f>
        <v>527675447</v>
      </c>
      <c r="L8" s="174">
        <f>SUM(L12,L85,L101,L137,L138)</f>
        <v>557675447</v>
      </c>
      <c r="M8" s="12">
        <f t="shared" si="1"/>
        <v>30000000</v>
      </c>
      <c r="N8" s="427">
        <f t="shared" si="2"/>
        <v>5.6853128510260209</v>
      </c>
      <c r="P8" s="466">
        <f t="shared" ref="P8:P10" si="4">E8-L8</f>
        <v>0</v>
      </c>
    </row>
    <row r="9" spans="1:16" ht="19.5" customHeight="1">
      <c r="A9" s="894" t="s">
        <v>24</v>
      </c>
      <c r="B9" s="846"/>
      <c r="C9" s="847"/>
      <c r="D9" s="334">
        <f>D21</f>
        <v>32100000</v>
      </c>
      <c r="E9" s="339">
        <f>E21</f>
        <v>0</v>
      </c>
      <c r="F9" s="264">
        <f t="shared" si="0"/>
        <v>-32100000</v>
      </c>
      <c r="G9" s="265">
        <f t="shared" si="3"/>
        <v>-100</v>
      </c>
      <c r="H9" s="887" t="s">
        <v>24</v>
      </c>
      <c r="I9" s="888"/>
      <c r="J9" s="889"/>
      <c r="K9" s="448">
        <f>SUM(K13,K86,K102,K139)</f>
        <v>32100000</v>
      </c>
      <c r="L9" s="174">
        <f>SUM(L13,L86,L102,L139)</f>
        <v>0</v>
      </c>
      <c r="M9" s="185">
        <f t="shared" si="1"/>
        <v>-32100000</v>
      </c>
      <c r="N9" s="426">
        <f t="shared" si="2"/>
        <v>-100</v>
      </c>
      <c r="P9" s="466">
        <f t="shared" si="4"/>
        <v>0</v>
      </c>
    </row>
    <row r="10" spans="1:16" ht="19.5" customHeight="1">
      <c r="A10" s="895" t="s">
        <v>9</v>
      </c>
      <c r="B10" s="849"/>
      <c r="C10" s="850"/>
      <c r="D10" s="334">
        <f>D17</f>
        <v>6000000</v>
      </c>
      <c r="E10" s="339">
        <f>E17</f>
        <v>6000000</v>
      </c>
      <c r="F10" s="264">
        <f t="shared" si="0"/>
        <v>0</v>
      </c>
      <c r="G10" s="265">
        <f t="shared" si="3"/>
        <v>0</v>
      </c>
      <c r="H10" s="896" t="s">
        <v>9</v>
      </c>
      <c r="I10" s="897"/>
      <c r="J10" s="898"/>
      <c r="K10" s="448">
        <f>SUM(K14,K87,K103)</f>
        <v>6000000</v>
      </c>
      <c r="L10" s="184">
        <f>SUM(L14,L87,L103)</f>
        <v>6000000</v>
      </c>
      <c r="M10" s="185">
        <f t="shared" si="1"/>
        <v>0</v>
      </c>
      <c r="N10" s="426">
        <f t="shared" si="2"/>
        <v>0</v>
      </c>
      <c r="P10" s="466">
        <f t="shared" si="4"/>
        <v>0</v>
      </c>
    </row>
    <row r="11" spans="1:16" ht="19.5" customHeight="1">
      <c r="A11" s="428" t="s">
        <v>23</v>
      </c>
      <c r="B11" s="830" t="s">
        <v>7</v>
      </c>
      <c r="C11" s="831"/>
      <c r="D11" s="335">
        <f>D12</f>
        <v>527625447</v>
      </c>
      <c r="E11" s="340">
        <f>E12</f>
        <v>557625447</v>
      </c>
      <c r="F11" s="271">
        <f t="shared" si="0"/>
        <v>30000000</v>
      </c>
      <c r="G11" s="506">
        <f t="shared" ref="G11:G16" si="5">F11/D11*100</f>
        <v>5.685851615113628</v>
      </c>
      <c r="H11" s="406" t="s">
        <v>48</v>
      </c>
      <c r="I11" s="2"/>
      <c r="J11" s="3"/>
      <c r="K11" s="4">
        <f>SUM(K12:K14)</f>
        <v>237550470</v>
      </c>
      <c r="L11" s="145">
        <f>SUM(L12:L14)</f>
        <v>145308957</v>
      </c>
      <c r="M11" s="5">
        <f t="shared" si="1"/>
        <v>-92241513</v>
      </c>
      <c r="N11" s="429">
        <f t="shared" si="2"/>
        <v>-38.830280150571795</v>
      </c>
    </row>
    <row r="12" spans="1:16" ht="19.5" customHeight="1">
      <c r="A12" s="430"/>
      <c r="B12" s="273" t="s">
        <v>25</v>
      </c>
      <c r="C12" s="274" t="s">
        <v>8</v>
      </c>
      <c r="D12" s="336">
        <f>SUM(D13:D16)</f>
        <v>527625447</v>
      </c>
      <c r="E12" s="341">
        <f>SUM(E13:E16)</f>
        <v>557625447</v>
      </c>
      <c r="F12" s="275">
        <f t="shared" si="0"/>
        <v>30000000</v>
      </c>
      <c r="G12" s="276">
        <f t="shared" si="5"/>
        <v>5.685851615113628</v>
      </c>
      <c r="H12" s="407"/>
      <c r="I12" s="9"/>
      <c r="J12" s="10" t="s">
        <v>10</v>
      </c>
      <c r="K12" s="11">
        <f>SUM(K16,K41,K57)</f>
        <v>228440470</v>
      </c>
      <c r="L12" s="11">
        <f>SUM(L16,L41,L57)</f>
        <v>142308957</v>
      </c>
      <c r="M12" s="12">
        <f t="shared" si="1"/>
        <v>-86131513</v>
      </c>
      <c r="N12" s="427">
        <f t="shared" si="2"/>
        <v>-37.704139288454449</v>
      </c>
    </row>
    <row r="13" spans="1:16" ht="19.5" customHeight="1">
      <c r="A13" s="431"/>
      <c r="B13" s="139"/>
      <c r="C13" s="154" t="s">
        <v>76</v>
      </c>
      <c r="D13" s="337">
        <v>236728447</v>
      </c>
      <c r="E13" s="281">
        <f>세입!E11</f>
        <v>236728447</v>
      </c>
      <c r="F13" s="291">
        <f t="shared" si="0"/>
        <v>0</v>
      </c>
      <c r="G13" s="405">
        <f t="shared" si="5"/>
        <v>0</v>
      </c>
      <c r="H13" s="407"/>
      <c r="I13" s="9"/>
      <c r="J13" s="10" t="s">
        <v>11</v>
      </c>
      <c r="K13" s="11">
        <f t="shared" ref="K13:L14" si="6">SUM(K17,K42,K58)</f>
        <v>6100000</v>
      </c>
      <c r="L13" s="11">
        <f>SUM(L17,L42,L58)</f>
        <v>0</v>
      </c>
      <c r="M13" s="12">
        <f t="shared" si="1"/>
        <v>-6100000</v>
      </c>
      <c r="N13" s="427">
        <f t="shared" si="2"/>
        <v>-100</v>
      </c>
    </row>
    <row r="14" spans="1:16" ht="19.5" customHeight="1">
      <c r="A14" s="431"/>
      <c r="B14" s="139"/>
      <c r="C14" s="150" t="s">
        <v>77</v>
      </c>
      <c r="D14" s="338">
        <v>25000000</v>
      </c>
      <c r="E14" s="286">
        <f>세입!E12</f>
        <v>25000000</v>
      </c>
      <c r="F14" s="287">
        <f t="shared" si="0"/>
        <v>0</v>
      </c>
      <c r="G14" s="292">
        <f t="shared" si="5"/>
        <v>0</v>
      </c>
      <c r="H14" s="408"/>
      <c r="I14" s="13"/>
      <c r="J14" s="14" t="s">
        <v>12</v>
      </c>
      <c r="K14" s="11">
        <f t="shared" si="6"/>
        <v>3010000</v>
      </c>
      <c r="L14" s="11">
        <f t="shared" si="6"/>
        <v>3000000</v>
      </c>
      <c r="M14" s="12">
        <f t="shared" si="1"/>
        <v>-10000</v>
      </c>
      <c r="N14" s="427">
        <f t="shared" si="2"/>
        <v>-0.33222591362126247</v>
      </c>
    </row>
    <row r="15" spans="1:16" ht="19.5" customHeight="1">
      <c r="A15" s="431"/>
      <c r="B15" s="139"/>
      <c r="C15" s="150" t="s">
        <v>78</v>
      </c>
      <c r="D15" s="338">
        <v>264616000</v>
      </c>
      <c r="E15" s="286">
        <f>세입!E13</f>
        <v>294616000</v>
      </c>
      <c r="F15" s="287">
        <f t="shared" si="0"/>
        <v>30000000</v>
      </c>
      <c r="G15" s="292">
        <f t="shared" si="5"/>
        <v>11.337182936783869</v>
      </c>
      <c r="H15" s="408"/>
      <c r="I15" s="15" t="s">
        <v>75</v>
      </c>
      <c r="J15" s="16"/>
      <c r="K15" s="17">
        <f>SUM(K16:K18)</f>
        <v>220090470</v>
      </c>
      <c r="L15" s="18">
        <f>SUM(L16:L18)</f>
        <v>115085823</v>
      </c>
      <c r="M15" s="19">
        <f t="shared" si="1"/>
        <v>-105004647</v>
      </c>
      <c r="N15" s="432">
        <f t="shared" si="2"/>
        <v>-47.709765443274307</v>
      </c>
    </row>
    <row r="16" spans="1:16" ht="19.5" customHeight="1">
      <c r="A16" s="431"/>
      <c r="B16" s="139"/>
      <c r="C16" s="150" t="s">
        <v>66</v>
      </c>
      <c r="D16" s="285">
        <v>1281000</v>
      </c>
      <c r="E16" s="293">
        <f>세입!E14</f>
        <v>1281000</v>
      </c>
      <c r="F16" s="289">
        <f t="shared" si="0"/>
        <v>0</v>
      </c>
      <c r="G16" s="292">
        <f t="shared" si="5"/>
        <v>0</v>
      </c>
      <c r="H16" s="408"/>
      <c r="I16" s="9"/>
      <c r="J16" s="10" t="s">
        <v>10</v>
      </c>
      <c r="K16" s="449">
        <f>SUM(K20,K24,K28,K32,K37)</f>
        <v>220090470</v>
      </c>
      <c r="L16" s="23">
        <f>SUM(L20,L24,L28,L32,L37)</f>
        <v>115085823</v>
      </c>
      <c r="M16" s="24">
        <f t="shared" si="1"/>
        <v>-105004647</v>
      </c>
      <c r="N16" s="433">
        <f t="shared" si="2"/>
        <v>-47.709765443274307</v>
      </c>
    </row>
    <row r="17" spans="1:14" ht="19.5" customHeight="1">
      <c r="A17" s="428" t="s">
        <v>26</v>
      </c>
      <c r="B17" s="830" t="s">
        <v>108</v>
      </c>
      <c r="C17" s="831"/>
      <c r="D17" s="270">
        <f>SUM(D18:D20)</f>
        <v>6000000</v>
      </c>
      <c r="E17" s="295">
        <f>SUM(E18:E20)</f>
        <v>6000000</v>
      </c>
      <c r="F17" s="296">
        <f t="shared" si="0"/>
        <v>0</v>
      </c>
      <c r="G17" s="297">
        <f t="shared" ref="G17:G24" si="7">F17/D17*100</f>
        <v>0</v>
      </c>
      <c r="H17" s="408"/>
      <c r="I17" s="28"/>
      <c r="J17" s="10" t="s">
        <v>11</v>
      </c>
      <c r="K17" s="449">
        <f t="shared" ref="K17:L18" si="8">SUM(K21,K25,K29,K33,K38)</f>
        <v>0</v>
      </c>
      <c r="L17" s="23">
        <f>SUM(L21,L25,L29,L33,L38)</f>
        <v>0</v>
      </c>
      <c r="M17" s="24">
        <f t="shared" si="1"/>
        <v>0</v>
      </c>
      <c r="N17" s="433" t="e">
        <f t="shared" si="2"/>
        <v>#DIV/0!</v>
      </c>
    </row>
    <row r="18" spans="1:14" ht="19.5" customHeight="1">
      <c r="A18" s="434"/>
      <c r="B18" s="298" t="s">
        <v>26</v>
      </c>
      <c r="C18" s="154" t="s">
        <v>79</v>
      </c>
      <c r="D18" s="285">
        <v>6000000</v>
      </c>
      <c r="E18" s="299">
        <f>세입!E16</f>
        <v>6000000</v>
      </c>
      <c r="F18" s="282">
        <f t="shared" si="0"/>
        <v>0</v>
      </c>
      <c r="G18" s="405">
        <f t="shared" si="7"/>
        <v>0</v>
      </c>
      <c r="H18" s="408"/>
      <c r="I18" s="9"/>
      <c r="J18" s="10" t="s">
        <v>12</v>
      </c>
      <c r="K18" s="449">
        <f t="shared" si="8"/>
        <v>0</v>
      </c>
      <c r="L18" s="38">
        <f t="shared" si="8"/>
        <v>0</v>
      </c>
      <c r="M18" s="24">
        <f t="shared" si="1"/>
        <v>0</v>
      </c>
      <c r="N18" s="433" t="e">
        <f t="shared" si="2"/>
        <v>#DIV/0!</v>
      </c>
    </row>
    <row r="19" spans="1:14" ht="19.5" customHeight="1">
      <c r="A19" s="434"/>
      <c r="B19" s="140"/>
      <c r="C19" s="150"/>
      <c r="D19" s="285"/>
      <c r="E19" s="299"/>
      <c r="F19" s="289">
        <f t="shared" ref="F19:F21" si="9">E19-D19</f>
        <v>0</v>
      </c>
      <c r="G19" s="292" t="e">
        <f t="shared" si="7"/>
        <v>#DIV/0!</v>
      </c>
      <c r="H19" s="408"/>
      <c r="I19" s="9"/>
      <c r="J19" s="29" t="s">
        <v>49</v>
      </c>
      <c r="K19" s="30">
        <f>SUM(K20:K22)</f>
        <v>144165000</v>
      </c>
      <c r="L19" s="31">
        <f>SUM(L20:L22)</f>
        <v>83087440</v>
      </c>
      <c r="M19" s="32">
        <f t="shared" si="1"/>
        <v>-61077560</v>
      </c>
      <c r="N19" s="435">
        <f t="shared" si="2"/>
        <v>-42.36642735754171</v>
      </c>
    </row>
    <row r="20" spans="1:14" ht="19.5" customHeight="1">
      <c r="A20" s="436"/>
      <c r="B20" s="326"/>
      <c r="C20" s="327"/>
      <c r="D20" s="328"/>
      <c r="E20" s="329"/>
      <c r="F20" s="301"/>
      <c r="G20" s="316"/>
      <c r="H20" s="408"/>
      <c r="I20" s="9"/>
      <c r="J20" s="10" t="s">
        <v>10</v>
      </c>
      <c r="K20" s="34">
        <v>144165000</v>
      </c>
      <c r="L20" s="35">
        <f>세출!E17</f>
        <v>83087440</v>
      </c>
      <c r="M20" s="24">
        <f t="shared" si="1"/>
        <v>-61077560</v>
      </c>
      <c r="N20" s="433">
        <f t="shared" si="2"/>
        <v>-42.36642735754171</v>
      </c>
    </row>
    <row r="21" spans="1:14" ht="19.5" customHeight="1">
      <c r="A21" s="437" t="s">
        <v>28</v>
      </c>
      <c r="B21" s="838" t="s">
        <v>7</v>
      </c>
      <c r="C21" s="839"/>
      <c r="D21" s="302">
        <f>SUM(D22:D25)</f>
        <v>32100000</v>
      </c>
      <c r="E21" s="303">
        <f>SUM(E22:E25)</f>
        <v>0</v>
      </c>
      <c r="F21" s="290">
        <f t="shared" si="9"/>
        <v>-32100000</v>
      </c>
      <c r="G21" s="304">
        <f t="shared" si="7"/>
        <v>-100</v>
      </c>
      <c r="H21" s="408"/>
      <c r="I21" s="9"/>
      <c r="J21" s="10" t="s">
        <v>11</v>
      </c>
      <c r="K21" s="34"/>
      <c r="L21" s="23">
        <f>S20</f>
        <v>0</v>
      </c>
      <c r="M21" s="24">
        <f t="shared" si="1"/>
        <v>0</v>
      </c>
      <c r="N21" s="433" t="e">
        <f t="shared" si="2"/>
        <v>#DIV/0!</v>
      </c>
    </row>
    <row r="22" spans="1:14" ht="19.5" customHeight="1">
      <c r="A22" s="434"/>
      <c r="B22" s="140" t="s">
        <v>45</v>
      </c>
      <c r="C22" s="150" t="s">
        <v>80</v>
      </c>
      <c r="D22" s="285">
        <v>16200000</v>
      </c>
      <c r="E22" s="167">
        <f>세입!E20</f>
        <v>0</v>
      </c>
      <c r="F22" s="289">
        <f>E22-D22</f>
        <v>-16200000</v>
      </c>
      <c r="G22" s="405">
        <f t="shared" si="7"/>
        <v>-100</v>
      </c>
      <c r="H22" s="408"/>
      <c r="I22" s="9"/>
      <c r="J22" s="36" t="s">
        <v>12</v>
      </c>
      <c r="K22" s="37"/>
      <c r="L22" s="38">
        <f>S21</f>
        <v>0</v>
      </c>
      <c r="M22" s="39">
        <f t="shared" si="1"/>
        <v>0</v>
      </c>
      <c r="N22" s="438" t="e">
        <f t="shared" si="2"/>
        <v>#DIV/0!</v>
      </c>
    </row>
    <row r="23" spans="1:14" ht="19.5" customHeight="1">
      <c r="A23" s="434"/>
      <c r="B23" s="141" t="s">
        <v>14</v>
      </c>
      <c r="C23" s="150" t="s">
        <v>90</v>
      </c>
      <c r="D23" s="285">
        <v>15000000</v>
      </c>
      <c r="E23" s="167">
        <f>세입!E21</f>
        <v>0</v>
      </c>
      <c r="F23" s="289">
        <f>E23-D23</f>
        <v>-15000000</v>
      </c>
      <c r="G23" s="405">
        <f t="shared" si="7"/>
        <v>-100</v>
      </c>
      <c r="H23" s="409"/>
      <c r="I23" s="41"/>
      <c r="J23" s="42" t="s">
        <v>63</v>
      </c>
      <c r="K23" s="43">
        <f>SUM(K24:K26)</f>
        <v>41411740</v>
      </c>
      <c r="L23" s="44">
        <f>SUM(L24:L26)</f>
        <v>14218903</v>
      </c>
      <c r="M23" s="24">
        <f>L23-K23</f>
        <v>-27192837</v>
      </c>
      <c r="N23" s="433">
        <f>M23/K23*100</f>
        <v>-65.664560339652482</v>
      </c>
    </row>
    <row r="24" spans="1:14" ht="19.5" customHeight="1">
      <c r="A24" s="434"/>
      <c r="B24" s="308"/>
      <c r="C24" s="150" t="s">
        <v>91</v>
      </c>
      <c r="D24" s="285">
        <v>900000</v>
      </c>
      <c r="E24" s="167">
        <f>세입!E22</f>
        <v>0</v>
      </c>
      <c r="F24" s="289">
        <f>E24-D24</f>
        <v>-900000</v>
      </c>
      <c r="G24" s="405">
        <f t="shared" si="7"/>
        <v>-100</v>
      </c>
      <c r="H24" s="409"/>
      <c r="I24" s="41"/>
      <c r="J24" s="10" t="s">
        <v>10</v>
      </c>
      <c r="K24" s="34">
        <v>41411740</v>
      </c>
      <c r="L24" s="23">
        <f>세출!E21</f>
        <v>14218903</v>
      </c>
      <c r="M24" s="24">
        <f>L24-K24</f>
        <v>-27192837</v>
      </c>
      <c r="N24" s="433">
        <f>M24/K24*100</f>
        <v>-65.664560339652482</v>
      </c>
    </row>
    <row r="25" spans="1:14" ht="19.5" customHeight="1">
      <c r="A25" s="434"/>
      <c r="B25" s="141" t="s">
        <v>14</v>
      </c>
      <c r="C25" s="150"/>
      <c r="D25" s="285"/>
      <c r="E25" s="286"/>
      <c r="F25" s="289"/>
      <c r="G25" s="292"/>
      <c r="H25" s="409"/>
      <c r="I25" s="41"/>
      <c r="J25" s="10" t="s">
        <v>11</v>
      </c>
      <c r="K25" s="12"/>
      <c r="L25" s="23"/>
      <c r="M25" s="24">
        <f>L25-K25</f>
        <v>0</v>
      </c>
      <c r="N25" s="433" t="e">
        <f>M25/K25*100</f>
        <v>#DIV/0!</v>
      </c>
    </row>
    <row r="26" spans="1:14" ht="19.5" customHeight="1">
      <c r="A26" s="439" t="s">
        <v>33</v>
      </c>
      <c r="B26" s="828" t="s">
        <v>7</v>
      </c>
      <c r="C26" s="829"/>
      <c r="D26" s="302">
        <f>SUM(D27:D28)</f>
        <v>50000</v>
      </c>
      <c r="E26" s="332">
        <f>SUM(E27:E28)</f>
        <v>50000</v>
      </c>
      <c r="F26" s="333">
        <f t="shared" ref="F26:F31" si="10">E26-D26</f>
        <v>0</v>
      </c>
      <c r="G26" s="297">
        <f t="shared" ref="G26:G31" si="11">F26/D26*100</f>
        <v>0</v>
      </c>
      <c r="H26" s="409"/>
      <c r="I26" s="41"/>
      <c r="J26" s="10" t="s">
        <v>12</v>
      </c>
      <c r="K26" s="12"/>
      <c r="L26" s="23"/>
      <c r="M26" s="24">
        <f>L26-K26</f>
        <v>0</v>
      </c>
      <c r="N26" s="433" t="e">
        <f>M26/K26*100</f>
        <v>#DIV/0!</v>
      </c>
    </row>
    <row r="27" spans="1:14" ht="19.5" customHeight="1">
      <c r="A27" s="440"/>
      <c r="B27" s="311" t="s">
        <v>59</v>
      </c>
      <c r="C27" s="154" t="s">
        <v>61</v>
      </c>
      <c r="D27" s="285">
        <v>50000</v>
      </c>
      <c r="E27" s="167">
        <f>세입!E25</f>
        <v>50000</v>
      </c>
      <c r="F27" s="289">
        <f t="shared" si="10"/>
        <v>0</v>
      </c>
      <c r="G27" s="405">
        <f t="shared" si="11"/>
        <v>0</v>
      </c>
      <c r="H27" s="410"/>
      <c r="I27" s="64"/>
      <c r="J27" s="173" t="s">
        <v>15</v>
      </c>
      <c r="K27" s="17">
        <f>SUM(K28:K30)</f>
        <v>15464730</v>
      </c>
      <c r="L27" s="174">
        <f>SUM(L28:L30)</f>
        <v>8068130</v>
      </c>
      <c r="M27" s="19">
        <f t="shared" ref="M27:M31" si="12">L27-K27</f>
        <v>-7396600</v>
      </c>
      <c r="N27" s="432">
        <f>M27/K27*100</f>
        <v>-47.828833739741981</v>
      </c>
    </row>
    <row r="28" spans="1:14" ht="19.5" customHeight="1">
      <c r="A28" s="440"/>
      <c r="B28" s="308" t="s">
        <v>14</v>
      </c>
      <c r="C28" s="150"/>
      <c r="D28" s="285"/>
      <c r="E28" s="167"/>
      <c r="F28" s="289">
        <f t="shared" si="10"/>
        <v>0</v>
      </c>
      <c r="G28" s="292" t="e">
        <f t="shared" si="11"/>
        <v>#DIV/0!</v>
      </c>
      <c r="H28" s="409"/>
      <c r="I28" s="51"/>
      <c r="J28" s="10" t="s">
        <v>10</v>
      </c>
      <c r="K28" s="12">
        <v>15464730</v>
      </c>
      <c r="L28" s="52">
        <f>세출!E29</f>
        <v>8068130</v>
      </c>
      <c r="M28" s="24">
        <f t="shared" si="12"/>
        <v>-7396600</v>
      </c>
      <c r="N28" s="433">
        <f t="shared" ref="N28:N31" si="13">M28/K28*100</f>
        <v>-47.828833739741981</v>
      </c>
    </row>
    <row r="29" spans="1:14" ht="19.5" customHeight="1">
      <c r="A29" s="439" t="s">
        <v>47</v>
      </c>
      <c r="B29" s="828" t="s">
        <v>7</v>
      </c>
      <c r="C29" s="829"/>
      <c r="D29" s="302">
        <f>SUM(D30:D31)</f>
        <v>0</v>
      </c>
      <c r="E29" s="314">
        <f>SUM(E30:E31)</f>
        <v>0</v>
      </c>
      <c r="F29" s="333">
        <f t="shared" si="10"/>
        <v>0</v>
      </c>
      <c r="G29" s="297" t="e">
        <f t="shared" si="11"/>
        <v>#DIV/0!</v>
      </c>
      <c r="H29" s="409"/>
      <c r="I29" s="51"/>
      <c r="J29" s="10" t="s">
        <v>11</v>
      </c>
      <c r="K29" s="12"/>
      <c r="L29" s="52"/>
      <c r="M29" s="24">
        <f t="shared" si="12"/>
        <v>0</v>
      </c>
      <c r="N29" s="433" t="e">
        <f t="shared" si="13"/>
        <v>#DIV/0!</v>
      </c>
    </row>
    <row r="30" spans="1:14" ht="19.5" customHeight="1">
      <c r="A30" s="441"/>
      <c r="B30" s="311" t="s">
        <v>54</v>
      </c>
      <c r="C30" s="152" t="s">
        <v>92</v>
      </c>
      <c r="D30" s="280"/>
      <c r="E30" s="286">
        <v>0</v>
      </c>
      <c r="F30" s="289">
        <f t="shared" si="10"/>
        <v>0</v>
      </c>
      <c r="G30" s="405" t="e">
        <f t="shared" si="11"/>
        <v>#DIV/0!</v>
      </c>
      <c r="H30" s="409"/>
      <c r="I30" s="51"/>
      <c r="J30" s="10" t="s">
        <v>12</v>
      </c>
      <c r="K30" s="12"/>
      <c r="L30" s="52"/>
      <c r="M30" s="24">
        <f t="shared" si="12"/>
        <v>0</v>
      </c>
      <c r="N30" s="433" t="e">
        <f t="shared" si="13"/>
        <v>#DIV/0!</v>
      </c>
    </row>
    <row r="31" spans="1:14" ht="19.5" customHeight="1" thickBot="1">
      <c r="A31" s="441"/>
      <c r="B31" s="309"/>
      <c r="C31" s="151"/>
      <c r="D31" s="285"/>
      <c r="E31" s="286">
        <v>0</v>
      </c>
      <c r="F31" s="289">
        <f t="shared" si="10"/>
        <v>0</v>
      </c>
      <c r="G31" s="405" t="e">
        <f t="shared" si="11"/>
        <v>#DIV/0!</v>
      </c>
      <c r="H31" s="409"/>
      <c r="I31" s="51"/>
      <c r="J31" s="53" t="s">
        <v>64</v>
      </c>
      <c r="K31" s="374">
        <f>SUM(K32:K34)</f>
        <v>17768000</v>
      </c>
      <c r="L31" s="375">
        <f>SUM(L32:L34)</f>
        <v>8430350</v>
      </c>
      <c r="M31" s="32">
        <f t="shared" si="12"/>
        <v>-9337650</v>
      </c>
      <c r="N31" s="435">
        <f t="shared" si="13"/>
        <v>-52.55318550202611</v>
      </c>
    </row>
    <row r="32" spans="1:14" ht="19.5" customHeight="1">
      <c r="A32" s="443"/>
      <c r="B32" s="444"/>
      <c r="C32" s="445"/>
      <c r="D32" s="446"/>
      <c r="E32" s="446"/>
      <c r="F32" s="446"/>
      <c r="G32" s="447"/>
      <c r="H32" s="409"/>
      <c r="I32" s="51"/>
      <c r="J32" s="10" t="s">
        <v>10</v>
      </c>
      <c r="K32" s="12">
        <v>17768000</v>
      </c>
      <c r="L32" s="52">
        <f>세출!E33</f>
        <v>8430350</v>
      </c>
      <c r="M32" s="24">
        <f>L32-K32</f>
        <v>-9337650</v>
      </c>
      <c r="N32" s="433"/>
    </row>
    <row r="33" spans="1:14" ht="19.5" customHeight="1">
      <c r="A33" s="260"/>
      <c r="B33" s="26"/>
      <c r="C33" s="84"/>
      <c r="D33" s="160"/>
      <c r="E33" s="160"/>
      <c r="F33" s="160"/>
      <c r="G33" s="318"/>
      <c r="H33" s="409"/>
      <c r="I33" s="51"/>
      <c r="J33" s="10" t="s">
        <v>11</v>
      </c>
      <c r="K33" s="12"/>
      <c r="L33" s="52"/>
      <c r="M33" s="24">
        <f>L33-K33</f>
        <v>0</v>
      </c>
      <c r="N33" s="433" t="e">
        <f>M33/K33*100</f>
        <v>#DIV/0!</v>
      </c>
    </row>
    <row r="34" spans="1:14" ht="19.5" customHeight="1">
      <c r="A34" s="442"/>
      <c r="B34" s="26"/>
      <c r="C34" s="26"/>
      <c r="D34" s="399"/>
      <c r="E34" s="400"/>
      <c r="F34" s="160"/>
      <c r="G34" s="318"/>
      <c r="H34" s="409"/>
      <c r="I34" s="51"/>
      <c r="J34" s="10" t="s">
        <v>12</v>
      </c>
      <c r="K34" s="12"/>
      <c r="L34" s="52"/>
      <c r="M34" s="24">
        <f>L34-K34</f>
        <v>0</v>
      </c>
      <c r="N34" s="433" t="e">
        <f>M34/K34*100</f>
        <v>#DIV/0!</v>
      </c>
    </row>
    <row r="35" spans="1:14" ht="19.5" customHeight="1">
      <c r="A35" s="260"/>
      <c r="B35" s="26"/>
      <c r="C35" s="396"/>
      <c r="D35" s="160"/>
      <c r="E35" s="160"/>
      <c r="F35" s="160"/>
      <c r="G35" s="318"/>
      <c r="H35" s="409"/>
      <c r="I35" s="51"/>
      <c r="J35" s="36"/>
      <c r="K35" s="37"/>
      <c r="L35" s="54"/>
      <c r="M35" s="39"/>
      <c r="N35" s="438" t="e">
        <f>M35/K35*100</f>
        <v>#DIV/0!</v>
      </c>
    </row>
    <row r="36" spans="1:14" ht="19.5" customHeight="1">
      <c r="A36" s="260"/>
      <c r="B36" s="84"/>
      <c r="C36" s="396"/>
      <c r="D36" s="160"/>
      <c r="E36" s="160"/>
      <c r="F36" s="160"/>
      <c r="G36" s="318"/>
      <c r="H36" s="409"/>
      <c r="I36" s="55"/>
      <c r="J36" s="50" t="s">
        <v>65</v>
      </c>
      <c r="K36" s="507">
        <f>SUM(K37:K39)</f>
        <v>1281000</v>
      </c>
      <c r="L36" s="46">
        <f>SUM(L37:L39)</f>
        <v>1281000</v>
      </c>
      <c r="M36" s="24">
        <f t="shared" ref="M36:M38" si="14">L36-K36</f>
        <v>0</v>
      </c>
      <c r="N36" s="433">
        <f t="shared" ref="N36:N38" si="15">M36/K36*100</f>
        <v>0</v>
      </c>
    </row>
    <row r="37" spans="1:14" ht="19.5" customHeight="1">
      <c r="A37" s="260"/>
      <c r="B37" s="84"/>
      <c r="C37" s="396"/>
      <c r="D37" s="160"/>
      <c r="E37" s="160"/>
      <c r="F37" s="160"/>
      <c r="G37" s="318"/>
      <c r="H37" s="409"/>
      <c r="I37" s="51"/>
      <c r="J37" s="10" t="s">
        <v>10</v>
      </c>
      <c r="K37" s="56">
        <v>1281000</v>
      </c>
      <c r="L37" s="52">
        <f>세출!E38</f>
        <v>1281000</v>
      </c>
      <c r="M37" s="24">
        <f t="shared" si="14"/>
        <v>0</v>
      </c>
      <c r="N37" s="433">
        <f t="shared" si="15"/>
        <v>0</v>
      </c>
    </row>
    <row r="38" spans="1:14" ht="19.5" customHeight="1">
      <c r="A38" s="260"/>
      <c r="B38" s="26"/>
      <c r="C38" s="396"/>
      <c r="D38" s="160"/>
      <c r="E38" s="160"/>
      <c r="F38" s="160"/>
      <c r="G38" s="318"/>
      <c r="H38" s="409"/>
      <c r="I38" s="51"/>
      <c r="J38" s="10" t="s">
        <v>11</v>
      </c>
      <c r="K38" s="56"/>
      <c r="L38" s="52"/>
      <c r="M38" s="24">
        <f t="shared" si="14"/>
        <v>0</v>
      </c>
      <c r="N38" s="433" t="e">
        <f t="shared" si="15"/>
        <v>#DIV/0!</v>
      </c>
    </row>
    <row r="39" spans="1:14" ht="19.5" customHeight="1">
      <c r="A39" s="260"/>
      <c r="B39" s="26"/>
      <c r="C39" s="396"/>
      <c r="D39" s="160"/>
      <c r="E39" s="160"/>
      <c r="F39" s="160"/>
      <c r="G39" s="318"/>
      <c r="H39" s="409"/>
      <c r="I39" s="51"/>
      <c r="J39" s="36" t="s">
        <v>12</v>
      </c>
      <c r="K39" s="57">
        <v>0</v>
      </c>
      <c r="L39" s="54">
        <f>S38</f>
        <v>0</v>
      </c>
      <c r="M39" s="39">
        <f>L39-K39</f>
        <v>0</v>
      </c>
      <c r="N39" s="438">
        <v>0</v>
      </c>
    </row>
    <row r="40" spans="1:14" ht="19.5" customHeight="1">
      <c r="A40" s="260"/>
      <c r="B40" s="26"/>
      <c r="C40" s="396"/>
      <c r="D40" s="160"/>
      <c r="E40" s="160"/>
      <c r="F40" s="160"/>
      <c r="G40" s="318"/>
      <c r="H40" s="411"/>
      <c r="I40" s="64" t="s">
        <v>50</v>
      </c>
      <c r="J40" s="65"/>
      <c r="K40" s="66">
        <f>SUM(K41:K43)</f>
        <v>2290000</v>
      </c>
      <c r="L40" s="224">
        <f>SUM(L41:L43)</f>
        <v>1632700</v>
      </c>
      <c r="M40" s="5">
        <f t="shared" ref="M40:M63" si="16">L40-K40</f>
        <v>-657300</v>
      </c>
      <c r="N40" s="429">
        <f>M40/K40*100</f>
        <v>-28.703056768558955</v>
      </c>
    </row>
    <row r="41" spans="1:14" ht="19.5" customHeight="1">
      <c r="A41" s="260"/>
      <c r="B41" s="26"/>
      <c r="C41" s="396"/>
      <c r="D41" s="160"/>
      <c r="E41" s="160"/>
      <c r="F41" s="160"/>
      <c r="G41" s="318"/>
      <c r="H41" s="412"/>
      <c r="I41" s="69"/>
      <c r="J41" s="70" t="s">
        <v>10</v>
      </c>
      <c r="K41" s="71">
        <f>SUM(K45,K49,K53)</f>
        <v>0</v>
      </c>
      <c r="L41" s="72">
        <f>SUM(L45,L49,L53)</f>
        <v>0</v>
      </c>
      <c r="M41" s="12">
        <f t="shared" si="16"/>
        <v>0</v>
      </c>
      <c r="N41" s="427">
        <v>0</v>
      </c>
    </row>
    <row r="42" spans="1:14" ht="19.5" customHeight="1">
      <c r="A42" s="253"/>
      <c r="B42" s="84"/>
      <c r="C42" s="396"/>
      <c r="D42" s="160"/>
      <c r="E42" s="160"/>
      <c r="F42" s="160"/>
      <c r="G42" s="318"/>
      <c r="H42" s="412"/>
      <c r="I42" s="69"/>
      <c r="J42" s="70" t="s">
        <v>11</v>
      </c>
      <c r="K42" s="71">
        <f t="shared" ref="K42:L43" si="17">SUM(K46,K50,K54)</f>
        <v>0</v>
      </c>
      <c r="L42" s="72">
        <f t="shared" si="17"/>
        <v>0</v>
      </c>
      <c r="M42" s="12">
        <f t="shared" si="16"/>
        <v>0</v>
      </c>
      <c r="N42" s="427" t="e">
        <f>M42/K42*100</f>
        <v>#DIV/0!</v>
      </c>
    </row>
    <row r="43" spans="1:14" ht="19.5" customHeight="1">
      <c r="A43" s="253"/>
      <c r="B43" s="84"/>
      <c r="C43" s="396"/>
      <c r="D43" s="160"/>
      <c r="E43" s="160"/>
      <c r="F43" s="160"/>
      <c r="G43" s="318"/>
      <c r="H43" s="412"/>
      <c r="I43" s="69"/>
      <c r="J43" s="70" t="s">
        <v>12</v>
      </c>
      <c r="K43" s="71">
        <v>2290000</v>
      </c>
      <c r="L43" s="450">
        <f t="shared" si="17"/>
        <v>1632700</v>
      </c>
      <c r="M43" s="12">
        <f t="shared" si="16"/>
        <v>-657300</v>
      </c>
      <c r="N43" s="427">
        <v>0</v>
      </c>
    </row>
    <row r="44" spans="1:14" ht="19.5" customHeight="1">
      <c r="A44" s="260"/>
      <c r="B44" s="26"/>
      <c r="C44" s="396"/>
      <c r="D44" s="160"/>
      <c r="E44" s="160"/>
      <c r="F44" s="160"/>
      <c r="G44" s="318"/>
      <c r="H44" s="412"/>
      <c r="I44" s="51"/>
      <c r="J44" s="29" t="s">
        <v>51</v>
      </c>
      <c r="K44" s="508">
        <f>SUM(K45:K47)</f>
        <v>1750000</v>
      </c>
      <c r="L44" s="76">
        <f>SUM(L45:L47)</f>
        <v>1190700</v>
      </c>
      <c r="M44" s="32">
        <f t="shared" si="16"/>
        <v>-559300</v>
      </c>
      <c r="N44" s="435">
        <f>M44/K44*100</f>
        <v>-31.96</v>
      </c>
    </row>
    <row r="45" spans="1:14" ht="19.5" customHeight="1">
      <c r="A45" s="260"/>
      <c r="B45" s="26"/>
      <c r="C45" s="397"/>
      <c r="D45" s="160"/>
      <c r="E45" s="398"/>
      <c r="F45" s="160"/>
      <c r="G45" s="318"/>
      <c r="H45" s="412"/>
      <c r="I45" s="55"/>
      <c r="J45" s="10" t="s">
        <v>10</v>
      </c>
      <c r="K45" s="56">
        <v>0</v>
      </c>
      <c r="L45" s="52">
        <v>0</v>
      </c>
      <c r="M45" s="12">
        <f t="shared" si="16"/>
        <v>0</v>
      </c>
      <c r="N45" s="427">
        <v>0</v>
      </c>
    </row>
    <row r="46" spans="1:14" ht="19.5" customHeight="1">
      <c r="A46" s="260"/>
      <c r="B46" s="26"/>
      <c r="C46" s="26"/>
      <c r="D46" s="399"/>
      <c r="E46" s="400"/>
      <c r="F46" s="160"/>
      <c r="G46" s="318"/>
      <c r="H46" s="412"/>
      <c r="I46" s="51"/>
      <c r="J46" s="10" t="s">
        <v>11</v>
      </c>
      <c r="K46" s="56"/>
      <c r="L46" s="52"/>
      <c r="M46" s="12">
        <f t="shared" si="16"/>
        <v>0</v>
      </c>
      <c r="N46" s="427" t="e">
        <f>M46/K46*100</f>
        <v>#DIV/0!</v>
      </c>
    </row>
    <row r="47" spans="1:14" ht="19.5" customHeight="1">
      <c r="A47" s="260"/>
      <c r="B47" s="26"/>
      <c r="C47" s="396"/>
      <c r="D47" s="160"/>
      <c r="E47" s="160"/>
      <c r="F47" s="160"/>
      <c r="G47" s="318"/>
      <c r="H47" s="411"/>
      <c r="I47" s="51"/>
      <c r="J47" s="10" t="s">
        <v>12</v>
      </c>
      <c r="K47" s="56">
        <v>1750000</v>
      </c>
      <c r="L47" s="52">
        <v>1190700</v>
      </c>
      <c r="M47" s="12">
        <f t="shared" si="16"/>
        <v>-559300</v>
      </c>
      <c r="N47" s="427">
        <v>0</v>
      </c>
    </row>
    <row r="48" spans="1:14" ht="19.5" customHeight="1">
      <c r="A48" s="260"/>
      <c r="B48" s="26"/>
      <c r="C48" s="396"/>
      <c r="D48" s="160"/>
      <c r="E48" s="160"/>
      <c r="F48" s="160"/>
      <c r="G48" s="318"/>
      <c r="H48" s="412"/>
      <c r="I48" s="51"/>
      <c r="J48" s="29" t="s">
        <v>16</v>
      </c>
      <c r="K48" s="508">
        <f>SUM(K49:K51)</f>
        <v>240000</v>
      </c>
      <c r="L48" s="76">
        <f>SUM(L49:L51)</f>
        <v>240000</v>
      </c>
      <c r="M48" s="32">
        <f t="shared" si="16"/>
        <v>0</v>
      </c>
      <c r="N48" s="435">
        <f>M48/K48*100</f>
        <v>0</v>
      </c>
    </row>
    <row r="49" spans="1:14" ht="19.5" customHeight="1">
      <c r="A49" s="260"/>
      <c r="B49" s="260"/>
      <c r="C49" s="396"/>
      <c r="D49" s="160"/>
      <c r="E49" s="160"/>
      <c r="F49" s="160"/>
      <c r="G49" s="318"/>
      <c r="H49" s="412"/>
      <c r="I49" s="51"/>
      <c r="J49" s="10" t="s">
        <v>10</v>
      </c>
      <c r="K49" s="56">
        <v>0</v>
      </c>
      <c r="L49" s="52">
        <v>0</v>
      </c>
      <c r="M49" s="12">
        <f t="shared" si="16"/>
        <v>0</v>
      </c>
      <c r="N49" s="427">
        <v>0</v>
      </c>
    </row>
    <row r="50" spans="1:14" ht="19.5" customHeight="1">
      <c r="A50" s="260"/>
      <c r="B50" s="260"/>
      <c r="C50" s="396"/>
      <c r="D50" s="160"/>
      <c r="E50" s="160"/>
      <c r="F50" s="160"/>
      <c r="G50" s="318"/>
      <c r="H50" s="412"/>
      <c r="I50" s="51"/>
      <c r="J50" s="10" t="s">
        <v>11</v>
      </c>
      <c r="K50" s="56"/>
      <c r="L50" s="52"/>
      <c r="M50" s="12">
        <f t="shared" si="16"/>
        <v>0</v>
      </c>
      <c r="N50" s="427" t="e">
        <f>M50/K50*100</f>
        <v>#DIV/0!</v>
      </c>
    </row>
    <row r="51" spans="1:14" ht="19.5" customHeight="1">
      <c r="A51" s="260"/>
      <c r="B51" s="260"/>
      <c r="C51" s="397"/>
      <c r="D51" s="160"/>
      <c r="E51" s="398"/>
      <c r="F51" s="160"/>
      <c r="G51" s="318"/>
      <c r="H51" s="412"/>
      <c r="I51" s="51"/>
      <c r="J51" s="10" t="s">
        <v>12</v>
      </c>
      <c r="K51" s="56">
        <v>240000</v>
      </c>
      <c r="L51" s="52">
        <v>240000</v>
      </c>
      <c r="M51" s="12">
        <f t="shared" si="16"/>
        <v>0</v>
      </c>
      <c r="N51" s="427">
        <v>0</v>
      </c>
    </row>
    <row r="52" spans="1:14" ht="19.5" customHeight="1">
      <c r="A52" s="260"/>
      <c r="B52" s="260"/>
      <c r="C52" s="401"/>
      <c r="D52" s="160"/>
      <c r="E52" s="160"/>
      <c r="F52" s="160"/>
      <c r="G52" s="318"/>
      <c r="H52" s="412"/>
      <c r="I52" s="41"/>
      <c r="J52" s="29" t="s">
        <v>17</v>
      </c>
      <c r="K52" s="508">
        <f>SUM(K53:K55)</f>
        <v>300000</v>
      </c>
      <c r="L52" s="76">
        <f>SUM(L53:L55)</f>
        <v>202000</v>
      </c>
      <c r="M52" s="32">
        <f t="shared" si="16"/>
        <v>-98000</v>
      </c>
      <c r="N52" s="435">
        <f>M52/K52*100</f>
        <v>-32.666666666666664</v>
      </c>
    </row>
    <row r="53" spans="1:14" ht="19.5" customHeight="1">
      <c r="A53" s="260"/>
      <c r="B53" s="260"/>
      <c r="C53" s="401"/>
      <c r="D53" s="160"/>
      <c r="E53" s="160"/>
      <c r="F53" s="160"/>
      <c r="G53" s="318"/>
      <c r="H53" s="412"/>
      <c r="I53" s="41"/>
      <c r="J53" s="159" t="s">
        <v>10</v>
      </c>
      <c r="K53" s="98">
        <v>0</v>
      </c>
      <c r="L53" s="52">
        <v>0</v>
      </c>
      <c r="M53" s="12">
        <f t="shared" si="16"/>
        <v>0</v>
      </c>
      <c r="N53" s="427">
        <v>0</v>
      </c>
    </row>
    <row r="54" spans="1:14" ht="19.5" customHeight="1">
      <c r="A54" s="260"/>
      <c r="B54" s="260"/>
      <c r="C54" s="401"/>
      <c r="D54" s="160"/>
      <c r="E54" s="160"/>
      <c r="F54" s="160"/>
      <c r="G54" s="318"/>
      <c r="H54" s="412"/>
      <c r="I54" s="41"/>
      <c r="J54" s="159" t="s">
        <v>11</v>
      </c>
      <c r="K54" s="56"/>
      <c r="L54" s="142"/>
      <c r="M54" s="156">
        <f t="shared" si="16"/>
        <v>0</v>
      </c>
      <c r="N54" s="433" t="e">
        <f>M54/K54*100</f>
        <v>#DIV/0!</v>
      </c>
    </row>
    <row r="55" spans="1:14" ht="19.5" customHeight="1">
      <c r="A55" s="260"/>
      <c r="B55" s="260"/>
      <c r="C55" s="401"/>
      <c r="D55" s="160"/>
      <c r="E55" s="160"/>
      <c r="F55" s="160"/>
      <c r="G55" s="318"/>
      <c r="H55" s="411"/>
      <c r="I55" s="47"/>
      <c r="J55" s="14" t="s">
        <v>12</v>
      </c>
      <c r="K55" s="158">
        <v>300000</v>
      </c>
      <c r="L55" s="48">
        <v>202000</v>
      </c>
      <c r="M55" s="59">
        <f t="shared" si="16"/>
        <v>-98000</v>
      </c>
      <c r="N55" s="453">
        <v>0</v>
      </c>
    </row>
    <row r="56" spans="1:14" ht="19.5" customHeight="1">
      <c r="A56" s="260"/>
      <c r="B56" s="260"/>
      <c r="C56" s="397"/>
      <c r="D56" s="160"/>
      <c r="E56" s="398"/>
      <c r="F56" s="160"/>
      <c r="G56" s="318"/>
      <c r="H56" s="412"/>
      <c r="I56" s="49" t="s">
        <v>52</v>
      </c>
      <c r="J56" s="157"/>
      <c r="K56" s="83">
        <f>SUM(K57:K59)</f>
        <v>15170000</v>
      </c>
      <c r="L56" s="87">
        <f>SUM(L57:L59)</f>
        <v>28590434</v>
      </c>
      <c r="M56" s="12">
        <f t="shared" si="16"/>
        <v>13420434</v>
      </c>
      <c r="N56" s="427">
        <f t="shared" ref="N56:N62" si="18">M56/K56*100</f>
        <v>88.46693473961767</v>
      </c>
    </row>
    <row r="57" spans="1:14" ht="19.5" customHeight="1">
      <c r="A57" s="260"/>
      <c r="B57" s="26"/>
      <c r="C57" s="26"/>
      <c r="D57" s="160"/>
      <c r="E57" s="398"/>
      <c r="F57" s="160"/>
      <c r="G57" s="318"/>
      <c r="H57" s="412"/>
      <c r="I57" s="69"/>
      <c r="J57" s="70" t="s">
        <v>10</v>
      </c>
      <c r="K57" s="377">
        <f>SUM(K61,K65,K69,K77,K81)</f>
        <v>8350000</v>
      </c>
      <c r="L57" s="52">
        <f>SUM(L61,L65,L69, L73,L77,L81)</f>
        <v>27223134</v>
      </c>
      <c r="M57" s="12">
        <f t="shared" si="16"/>
        <v>18873134</v>
      </c>
      <c r="N57" s="427">
        <f t="shared" si="18"/>
        <v>226.02555688622755</v>
      </c>
    </row>
    <row r="58" spans="1:14" ht="19.5" customHeight="1">
      <c r="A58" s="402"/>
      <c r="B58" s="26"/>
      <c r="C58" s="26"/>
      <c r="D58" s="399"/>
      <c r="E58" s="400"/>
      <c r="F58" s="160"/>
      <c r="G58" s="318"/>
      <c r="H58" s="412"/>
      <c r="I58" s="69"/>
      <c r="J58" s="70" t="s">
        <v>11</v>
      </c>
      <c r="K58" s="377">
        <f>SUM(K62,K66,K70,K78,K82)</f>
        <v>6100000</v>
      </c>
      <c r="L58" s="52">
        <f>SUM(L62,L66,L70,L78,L82)</f>
        <v>0</v>
      </c>
      <c r="M58" s="12">
        <f t="shared" si="16"/>
        <v>-6100000</v>
      </c>
      <c r="N58" s="427">
        <f t="shared" si="18"/>
        <v>-100</v>
      </c>
    </row>
    <row r="59" spans="1:14" ht="19.5" customHeight="1">
      <c r="A59" s="260"/>
      <c r="B59" s="403"/>
      <c r="C59" s="401"/>
      <c r="D59" s="160"/>
      <c r="E59" s="160"/>
      <c r="F59" s="160"/>
      <c r="G59" s="318"/>
      <c r="H59" s="412"/>
      <c r="I59" s="69"/>
      <c r="J59" s="70" t="s">
        <v>12</v>
      </c>
      <c r="K59" s="377">
        <f>SUM(K63,K67,K71,K79,K83)</f>
        <v>720000</v>
      </c>
      <c r="L59" s="54">
        <f>SUM(L63,L67,L71,L79,L83)</f>
        <v>1367300</v>
      </c>
      <c r="M59" s="12">
        <f t="shared" si="16"/>
        <v>647300</v>
      </c>
      <c r="N59" s="427">
        <f t="shared" si="18"/>
        <v>89.902777777777771</v>
      </c>
    </row>
    <row r="60" spans="1:14" ht="19.5" customHeight="1">
      <c r="A60" s="260"/>
      <c r="B60" s="260"/>
      <c r="C60" s="401"/>
      <c r="D60" s="160"/>
      <c r="E60" s="160"/>
      <c r="F60" s="160"/>
      <c r="G60" s="318"/>
      <c r="H60" s="412"/>
      <c r="I60" s="51"/>
      <c r="J60" s="29" t="s">
        <v>67</v>
      </c>
      <c r="K60" s="376">
        <f>SUM(K61:K63)</f>
        <v>8350000</v>
      </c>
      <c r="L60" s="77">
        <f>SUM(L61:L63)</f>
        <v>23044634</v>
      </c>
      <c r="M60" s="32">
        <f t="shared" si="16"/>
        <v>14694634</v>
      </c>
      <c r="N60" s="435">
        <f t="shared" si="18"/>
        <v>175.98364071856287</v>
      </c>
    </row>
    <row r="61" spans="1:14" ht="19.5" customHeight="1">
      <c r="A61" s="260"/>
      <c r="B61" s="260"/>
      <c r="C61" s="401"/>
      <c r="D61" s="160"/>
      <c r="E61" s="160"/>
      <c r="F61" s="160"/>
      <c r="G61" s="318"/>
      <c r="H61" s="412"/>
      <c r="I61" s="51"/>
      <c r="J61" s="10" t="s">
        <v>10</v>
      </c>
      <c r="K61" s="377">
        <v>8350000</v>
      </c>
      <c r="L61" s="81">
        <v>22044634</v>
      </c>
      <c r="M61" s="24">
        <f t="shared" si="16"/>
        <v>13694634</v>
      </c>
      <c r="N61" s="433">
        <f t="shared" si="18"/>
        <v>164.00759281437126</v>
      </c>
    </row>
    <row r="62" spans="1:14" ht="19.5" customHeight="1">
      <c r="A62" s="260"/>
      <c r="B62" s="260"/>
      <c r="C62" s="401"/>
      <c r="D62" s="160"/>
      <c r="E62" s="160"/>
      <c r="F62" s="160"/>
      <c r="G62" s="318"/>
      <c r="H62" s="412"/>
      <c r="I62" s="51"/>
      <c r="J62" s="10" t="s">
        <v>11</v>
      </c>
      <c r="K62" s="377"/>
      <c r="L62" s="52"/>
      <c r="M62" s="24">
        <f t="shared" si="16"/>
        <v>0</v>
      </c>
      <c r="N62" s="433" t="e">
        <f t="shared" si="18"/>
        <v>#DIV/0!</v>
      </c>
    </row>
    <row r="63" spans="1:14" ht="19.5" customHeight="1">
      <c r="A63" s="260"/>
      <c r="B63" s="260"/>
      <c r="C63" s="401"/>
      <c r="D63" s="160"/>
      <c r="E63" s="398"/>
      <c r="F63" s="160"/>
      <c r="G63" s="318"/>
      <c r="H63" s="412"/>
      <c r="I63" s="51"/>
      <c r="J63" s="10" t="s">
        <v>12</v>
      </c>
      <c r="K63" s="377"/>
      <c r="L63" s="52">
        <v>1000000</v>
      </c>
      <c r="M63" s="24">
        <f t="shared" si="16"/>
        <v>1000000</v>
      </c>
      <c r="N63" s="433" t="e">
        <f t="shared" ref="N63:N76" si="19">M63/K63*100</f>
        <v>#DIV/0!</v>
      </c>
    </row>
    <row r="64" spans="1:14" ht="19.5" customHeight="1">
      <c r="A64" s="260"/>
      <c r="B64" s="260"/>
      <c r="C64" s="404"/>
      <c r="D64" s="160"/>
      <c r="E64" s="398"/>
      <c r="F64" s="160"/>
      <c r="G64" s="160"/>
      <c r="H64" s="412"/>
      <c r="I64" s="51"/>
      <c r="J64" s="42" t="s">
        <v>68</v>
      </c>
      <c r="K64" s="379">
        <f>SUM(K65:K67)</f>
        <v>5400000</v>
      </c>
      <c r="L64" s="87">
        <f>SUM(L65:L67)</f>
        <v>859800</v>
      </c>
      <c r="M64" s="24">
        <f t="shared" ref="M64:M71" si="20">L64-K64</f>
        <v>-4540200</v>
      </c>
      <c r="N64" s="433">
        <f t="shared" si="19"/>
        <v>-84.077777777777769</v>
      </c>
    </row>
    <row r="65" spans="1:14" ht="19.5" customHeight="1">
      <c r="A65" s="260"/>
      <c r="B65" s="260"/>
      <c r="C65" s="318"/>
      <c r="D65" s="160"/>
      <c r="E65" s="398"/>
      <c r="F65" s="160"/>
      <c r="G65" s="318"/>
      <c r="H65" s="412"/>
      <c r="I65" s="69"/>
      <c r="J65" s="10" t="s">
        <v>10</v>
      </c>
      <c r="K65" s="377"/>
      <c r="L65" s="52">
        <v>859800</v>
      </c>
      <c r="M65" s="24">
        <f t="shared" si="20"/>
        <v>859800</v>
      </c>
      <c r="N65" s="433" t="e">
        <f t="shared" si="19"/>
        <v>#DIV/0!</v>
      </c>
    </row>
    <row r="66" spans="1:14" ht="19.5" customHeight="1">
      <c r="A66" s="260"/>
      <c r="B66" s="260"/>
      <c r="C66" s="318"/>
      <c r="D66" s="160"/>
      <c r="E66" s="398"/>
      <c r="F66" s="160"/>
      <c r="G66" s="318"/>
      <c r="H66" s="412"/>
      <c r="I66" s="69"/>
      <c r="J66" s="10" t="s">
        <v>11</v>
      </c>
      <c r="K66" s="377">
        <v>5400000</v>
      </c>
      <c r="L66" s="52">
        <v>0</v>
      </c>
      <c r="M66" s="24">
        <f t="shared" si="20"/>
        <v>-5400000</v>
      </c>
      <c r="N66" s="433">
        <f t="shared" si="19"/>
        <v>-100</v>
      </c>
    </row>
    <row r="67" spans="1:14" ht="19.5" customHeight="1">
      <c r="A67" s="260"/>
      <c r="B67" s="260"/>
      <c r="C67" s="318"/>
      <c r="D67" s="160"/>
      <c r="E67" s="398"/>
      <c r="F67" s="160"/>
      <c r="G67" s="318"/>
      <c r="H67" s="412"/>
      <c r="I67" s="69"/>
      <c r="J67" s="10" t="s">
        <v>12</v>
      </c>
      <c r="K67" s="56"/>
      <c r="L67" s="52">
        <v>0</v>
      </c>
      <c r="M67" s="24">
        <f t="shared" si="20"/>
        <v>0</v>
      </c>
      <c r="N67" s="433" t="e">
        <f t="shared" si="19"/>
        <v>#DIV/0!</v>
      </c>
    </row>
    <row r="68" spans="1:14" ht="19.5" customHeight="1">
      <c r="A68" s="260"/>
      <c r="B68" s="260"/>
      <c r="C68" s="318"/>
      <c r="D68" s="160"/>
      <c r="E68" s="398"/>
      <c r="F68" s="160"/>
      <c r="G68" s="318"/>
      <c r="H68" s="413"/>
      <c r="I68" s="69"/>
      <c r="J68" s="29" t="s">
        <v>69</v>
      </c>
      <c r="K68" s="376">
        <f>SUM(K69:K71)</f>
        <v>500000</v>
      </c>
      <c r="L68" s="380">
        <f>SUM(L69:L71)</f>
        <v>2390000</v>
      </c>
      <c r="M68" s="32">
        <f t="shared" si="20"/>
        <v>1890000</v>
      </c>
      <c r="N68" s="435">
        <f t="shared" si="19"/>
        <v>378</v>
      </c>
    </row>
    <row r="69" spans="1:14" ht="19.5" customHeight="1">
      <c r="A69" s="260"/>
      <c r="B69" s="260"/>
      <c r="C69" s="318"/>
      <c r="D69" s="160"/>
      <c r="E69" s="398"/>
      <c r="F69" s="160"/>
      <c r="G69" s="318"/>
      <c r="H69" s="414"/>
      <c r="I69" s="69"/>
      <c r="J69" s="10" t="s">
        <v>10</v>
      </c>
      <c r="K69" s="377"/>
      <c r="L69" s="52">
        <v>2100000</v>
      </c>
      <c r="M69" s="24">
        <f t="shared" si="20"/>
        <v>2100000</v>
      </c>
      <c r="N69" s="433" t="e">
        <f t="shared" si="19"/>
        <v>#DIV/0!</v>
      </c>
    </row>
    <row r="70" spans="1:14" ht="19.5" customHeight="1">
      <c r="A70" s="260"/>
      <c r="B70" s="260"/>
      <c r="C70" s="318"/>
      <c r="D70" s="160"/>
      <c r="E70" s="398"/>
      <c r="F70" s="160"/>
      <c r="G70" s="318"/>
      <c r="H70" s="414"/>
      <c r="I70" s="69"/>
      <c r="J70" s="10" t="s">
        <v>11</v>
      </c>
      <c r="K70" s="377">
        <v>500000</v>
      </c>
      <c r="L70" s="85">
        <v>0</v>
      </c>
      <c r="M70" s="24">
        <f t="shared" si="20"/>
        <v>-500000</v>
      </c>
      <c r="N70" s="433">
        <f t="shared" si="19"/>
        <v>-100</v>
      </c>
    </row>
    <row r="71" spans="1:14" ht="19.5" customHeight="1">
      <c r="A71" s="260"/>
      <c r="B71" s="260"/>
      <c r="C71" s="318"/>
      <c r="D71" s="160"/>
      <c r="E71" s="398"/>
      <c r="F71" s="160"/>
      <c r="G71" s="318"/>
      <c r="H71" s="414"/>
      <c r="I71" s="69"/>
      <c r="J71" s="10" t="s">
        <v>12</v>
      </c>
      <c r="K71" s="377"/>
      <c r="L71" s="85">
        <v>290000</v>
      </c>
      <c r="M71" s="24">
        <f t="shared" si="20"/>
        <v>290000</v>
      </c>
      <c r="N71" s="433" t="e">
        <f t="shared" si="19"/>
        <v>#DIV/0!</v>
      </c>
    </row>
    <row r="72" spans="1:14" ht="19.5" customHeight="1">
      <c r="A72" s="260"/>
      <c r="B72" s="260"/>
      <c r="C72" s="318"/>
      <c r="D72" s="160"/>
      <c r="E72" s="398"/>
      <c r="F72" s="160"/>
      <c r="G72" s="318"/>
      <c r="H72" s="414"/>
      <c r="I72" s="69"/>
      <c r="J72" s="29" t="s">
        <v>112</v>
      </c>
      <c r="K72" s="376">
        <f>SUM(K73:K75)</f>
        <v>0</v>
      </c>
      <c r="L72" s="380">
        <f>SUM(L73:L75)</f>
        <v>800000</v>
      </c>
      <c r="M72" s="32">
        <f t="shared" ref="M72:M75" si="21">L72-K72</f>
        <v>800000</v>
      </c>
      <c r="N72" s="435" t="e">
        <f t="shared" ref="N72:N75" si="22">M72/K72*100</f>
        <v>#DIV/0!</v>
      </c>
    </row>
    <row r="73" spans="1:14" ht="19.5" customHeight="1">
      <c r="A73" s="260"/>
      <c r="B73" s="260"/>
      <c r="C73" s="318"/>
      <c r="D73" s="160"/>
      <c r="E73" s="398"/>
      <c r="F73" s="160"/>
      <c r="G73" s="318"/>
      <c r="H73" s="414"/>
      <c r="I73" s="69"/>
      <c r="J73" s="10" t="s">
        <v>10</v>
      </c>
      <c r="K73" s="377"/>
      <c r="L73" s="52">
        <v>800000</v>
      </c>
      <c r="M73" s="24">
        <f t="shared" si="21"/>
        <v>800000</v>
      </c>
      <c r="N73" s="433" t="e">
        <f t="shared" si="22"/>
        <v>#DIV/0!</v>
      </c>
    </row>
    <row r="74" spans="1:14" ht="19.5" customHeight="1">
      <c r="A74" s="260"/>
      <c r="B74" s="260"/>
      <c r="C74" s="318"/>
      <c r="D74" s="160"/>
      <c r="E74" s="398"/>
      <c r="F74" s="160"/>
      <c r="G74" s="318"/>
      <c r="H74" s="414"/>
      <c r="I74" s="69"/>
      <c r="J74" s="10" t="s">
        <v>11</v>
      </c>
      <c r="K74" s="377">
        <v>0</v>
      </c>
      <c r="L74" s="85">
        <v>0</v>
      </c>
      <c r="M74" s="24">
        <f t="shared" si="21"/>
        <v>0</v>
      </c>
      <c r="N74" s="433" t="e">
        <f t="shared" si="22"/>
        <v>#DIV/0!</v>
      </c>
    </row>
    <row r="75" spans="1:14" ht="19.5" customHeight="1">
      <c r="A75" s="260"/>
      <c r="B75" s="260"/>
      <c r="C75" s="318"/>
      <c r="D75" s="160"/>
      <c r="E75" s="398"/>
      <c r="F75" s="160"/>
      <c r="G75" s="318"/>
      <c r="H75" s="414"/>
      <c r="I75" s="69"/>
      <c r="J75" s="10" t="s">
        <v>12</v>
      </c>
      <c r="K75" s="377"/>
      <c r="L75" s="85"/>
      <c r="M75" s="24">
        <f t="shared" si="21"/>
        <v>0</v>
      </c>
      <c r="N75" s="433" t="e">
        <f t="shared" si="22"/>
        <v>#DIV/0!</v>
      </c>
    </row>
    <row r="76" spans="1:14" ht="19.5" customHeight="1">
      <c r="A76" s="260"/>
      <c r="B76" s="260"/>
      <c r="C76" s="318"/>
      <c r="D76" s="160"/>
      <c r="E76" s="398"/>
      <c r="F76" s="160"/>
      <c r="G76" s="318"/>
      <c r="H76" s="414"/>
      <c r="I76" s="69"/>
      <c r="J76" s="168" t="s">
        <v>62</v>
      </c>
      <c r="K76" s="376">
        <f>SUM(K77:K79)</f>
        <v>200000</v>
      </c>
      <c r="L76" s="385">
        <f>SUM(L77:L79)</f>
        <v>632000</v>
      </c>
      <c r="M76" s="32">
        <f t="shared" ref="M76:M79" si="23">L76-K76</f>
        <v>432000</v>
      </c>
      <c r="N76" s="435">
        <f t="shared" si="19"/>
        <v>216</v>
      </c>
    </row>
    <row r="77" spans="1:14" ht="19.5" customHeight="1">
      <c r="A77" s="260"/>
      <c r="B77" s="260"/>
      <c r="C77" s="318"/>
      <c r="D77" s="160"/>
      <c r="E77" s="398"/>
      <c r="F77" s="160"/>
      <c r="G77" s="318"/>
      <c r="H77" s="414"/>
      <c r="I77" s="170"/>
      <c r="J77" s="155" t="s">
        <v>10</v>
      </c>
      <c r="K77" s="377">
        <v>0</v>
      </c>
      <c r="L77" s="52">
        <v>632000</v>
      </c>
      <c r="M77" s="24">
        <f t="shared" si="23"/>
        <v>632000</v>
      </c>
      <c r="N77" s="433">
        <v>0</v>
      </c>
    </row>
    <row r="78" spans="1:14" ht="19.5" customHeight="1">
      <c r="A78" s="260"/>
      <c r="B78" s="260"/>
      <c r="C78" s="318"/>
      <c r="D78" s="160"/>
      <c r="E78" s="398"/>
      <c r="F78" s="160"/>
      <c r="G78" s="318"/>
      <c r="H78" s="414"/>
      <c r="I78" s="170"/>
      <c r="J78" s="155" t="s">
        <v>11</v>
      </c>
      <c r="K78" s="377">
        <v>200000</v>
      </c>
      <c r="L78" s="52"/>
      <c r="M78" s="24">
        <f t="shared" si="23"/>
        <v>-200000</v>
      </c>
      <c r="N78" s="433">
        <f>M78/K78*100</f>
        <v>-100</v>
      </c>
    </row>
    <row r="79" spans="1:14" ht="19.5" customHeight="1">
      <c r="A79" s="260"/>
      <c r="B79" s="260"/>
      <c r="C79" s="318"/>
      <c r="D79" s="160"/>
      <c r="E79" s="398"/>
      <c r="F79" s="160"/>
      <c r="G79" s="318"/>
      <c r="H79" s="414"/>
      <c r="I79" s="170"/>
      <c r="J79" s="36" t="s">
        <v>12</v>
      </c>
      <c r="K79" s="378"/>
      <c r="L79" s="54">
        <v>0</v>
      </c>
      <c r="M79" s="39">
        <f t="shared" si="23"/>
        <v>0</v>
      </c>
      <c r="N79" s="438" t="e">
        <f>M79/K79*100</f>
        <v>#DIV/0!</v>
      </c>
    </row>
    <row r="80" spans="1:14" ht="19.5" customHeight="1">
      <c r="A80" s="260"/>
      <c r="B80" s="260"/>
      <c r="C80" s="318"/>
      <c r="D80" s="160"/>
      <c r="E80" s="398"/>
      <c r="F80" s="160"/>
      <c r="G80" s="318"/>
      <c r="H80" s="414"/>
      <c r="I80" s="69"/>
      <c r="J80" s="169" t="s">
        <v>31</v>
      </c>
      <c r="K80" s="379">
        <f>SUM(K81:K83)</f>
        <v>720000</v>
      </c>
      <c r="L80" s="381">
        <f>SUM(L81:L83)</f>
        <v>864000</v>
      </c>
      <c r="M80" s="24">
        <f>L80-K80</f>
        <v>144000</v>
      </c>
      <c r="N80" s="433">
        <f>M80/K80*100</f>
        <v>20</v>
      </c>
    </row>
    <row r="81" spans="1:14" ht="19.5" customHeight="1">
      <c r="A81" s="260"/>
      <c r="B81" s="260"/>
      <c r="C81" s="318"/>
      <c r="D81" s="160"/>
      <c r="E81" s="398"/>
      <c r="F81" s="160"/>
      <c r="G81" s="318"/>
      <c r="H81" s="414"/>
      <c r="I81" s="69"/>
      <c r="J81" s="70" t="s">
        <v>10</v>
      </c>
      <c r="K81" s="377"/>
      <c r="L81" s="52">
        <v>786700</v>
      </c>
      <c r="M81" s="24">
        <f>L81-K81</f>
        <v>786700</v>
      </c>
      <c r="N81" s="433">
        <v>0</v>
      </c>
    </row>
    <row r="82" spans="1:14" ht="19.5" customHeight="1">
      <c r="A82" s="260"/>
      <c r="B82" s="260"/>
      <c r="C82" s="318"/>
      <c r="D82" s="160"/>
      <c r="E82" s="398"/>
      <c r="F82" s="160"/>
      <c r="G82" s="318"/>
      <c r="H82" s="414"/>
      <c r="I82" s="69"/>
      <c r="J82" s="70" t="s">
        <v>11</v>
      </c>
      <c r="K82" s="377"/>
      <c r="L82" s="52"/>
      <c r="M82" s="24">
        <f>L82-K82</f>
        <v>0</v>
      </c>
      <c r="N82" s="433" t="e">
        <f t="shared" ref="N82" si="24">M82/K82*100</f>
        <v>#DIV/0!</v>
      </c>
    </row>
    <row r="83" spans="1:14" ht="19.5" customHeight="1">
      <c r="A83" s="260"/>
      <c r="B83" s="260"/>
      <c r="C83" s="318"/>
      <c r="D83" s="160"/>
      <c r="E83" s="398"/>
      <c r="F83" s="160"/>
      <c r="G83" s="318"/>
      <c r="H83" s="415"/>
      <c r="I83" s="86"/>
      <c r="J83" s="14" t="s">
        <v>12</v>
      </c>
      <c r="K83" s="377">
        <v>720000</v>
      </c>
      <c r="L83" s="48">
        <v>77300</v>
      </c>
      <c r="M83" s="60">
        <f>L83-K83</f>
        <v>-642700</v>
      </c>
      <c r="N83" s="454">
        <v>0</v>
      </c>
    </row>
    <row r="84" spans="1:14" ht="19.5" customHeight="1">
      <c r="A84" s="260"/>
      <c r="B84" s="260"/>
      <c r="C84" s="318"/>
      <c r="D84" s="160"/>
      <c r="E84" s="398"/>
      <c r="F84" s="160"/>
      <c r="G84" s="318"/>
      <c r="H84" s="416" t="s">
        <v>70</v>
      </c>
      <c r="I84" s="49" t="s">
        <v>71</v>
      </c>
      <c r="J84" s="50"/>
      <c r="K84" s="382">
        <f>SUM(K85:K87)</f>
        <v>264616000</v>
      </c>
      <c r="L84" s="383">
        <f>SUM(L85:L87)</f>
        <v>372229740</v>
      </c>
      <c r="M84" s="19">
        <f t="shared" ref="M84:M91" si="25">L84-K84</f>
        <v>107613740</v>
      </c>
      <c r="N84" s="432">
        <f t="shared" ref="N84" si="26">M84/K84*100</f>
        <v>40.66788856304985</v>
      </c>
    </row>
    <row r="85" spans="1:14" ht="19.5" customHeight="1">
      <c r="A85" s="260"/>
      <c r="B85" s="260"/>
      <c r="C85" s="318"/>
      <c r="D85" s="160"/>
      <c r="E85" s="398"/>
      <c r="F85" s="160"/>
      <c r="G85" s="318"/>
      <c r="H85" s="414"/>
      <c r="I85" s="69"/>
      <c r="J85" s="10" t="s">
        <v>10</v>
      </c>
      <c r="K85" s="377">
        <f t="shared" ref="K85:L87" si="27">SUM(K89,K93,K97)</f>
        <v>264616000</v>
      </c>
      <c r="L85" s="52">
        <f t="shared" si="27"/>
        <v>370229740</v>
      </c>
      <c r="M85" s="24">
        <f t="shared" si="25"/>
        <v>105613740</v>
      </c>
      <c r="N85" s="433"/>
    </row>
    <row r="86" spans="1:14" ht="19.5" customHeight="1">
      <c r="A86" s="260"/>
      <c r="B86" s="260"/>
      <c r="C86" s="318"/>
      <c r="D86" s="160"/>
      <c r="E86" s="398"/>
      <c r="F86" s="160"/>
      <c r="G86" s="318"/>
      <c r="H86" s="414"/>
      <c r="I86" s="69"/>
      <c r="J86" s="10" t="s">
        <v>11</v>
      </c>
      <c r="K86" s="377">
        <f t="shared" si="27"/>
        <v>0</v>
      </c>
      <c r="L86" s="52">
        <f t="shared" si="27"/>
        <v>0</v>
      </c>
      <c r="M86" s="24">
        <f t="shared" si="25"/>
        <v>0</v>
      </c>
      <c r="N86" s="433" t="e">
        <f t="shared" ref="N86:N87" si="28">M86/K86*100</f>
        <v>#DIV/0!</v>
      </c>
    </row>
    <row r="87" spans="1:14" ht="19.5" customHeight="1">
      <c r="A87" s="260"/>
      <c r="B87" s="260"/>
      <c r="C87" s="318"/>
      <c r="D87" s="160"/>
      <c r="E87" s="398"/>
      <c r="F87" s="160"/>
      <c r="G87" s="318"/>
      <c r="H87" s="414"/>
      <c r="I87" s="69"/>
      <c r="J87" s="10" t="s">
        <v>12</v>
      </c>
      <c r="K87" s="377">
        <f t="shared" si="27"/>
        <v>0</v>
      </c>
      <c r="L87" s="54">
        <f t="shared" si="27"/>
        <v>2000000</v>
      </c>
      <c r="M87" s="24">
        <f t="shared" si="25"/>
        <v>2000000</v>
      </c>
      <c r="N87" s="433" t="e">
        <f t="shared" si="28"/>
        <v>#DIV/0!</v>
      </c>
    </row>
    <row r="88" spans="1:14" ht="19.5" customHeight="1">
      <c r="A88" s="260"/>
      <c r="B88" s="260"/>
      <c r="C88" s="318"/>
      <c r="D88" s="160"/>
      <c r="E88" s="398"/>
      <c r="F88" s="160"/>
      <c r="G88" s="318"/>
      <c r="H88" s="414"/>
      <c r="I88" s="69"/>
      <c r="J88" s="88" t="s">
        <v>72</v>
      </c>
      <c r="K88" s="508">
        <f>SUM(K89:K91)</f>
        <v>160000000</v>
      </c>
      <c r="L88" s="376">
        <f>SUM(L89:L91)</f>
        <v>162000000</v>
      </c>
      <c r="M88" s="32">
        <f t="shared" si="25"/>
        <v>2000000</v>
      </c>
      <c r="N88" s="435">
        <v>0</v>
      </c>
    </row>
    <row r="89" spans="1:14" ht="19.5" customHeight="1">
      <c r="A89" s="260"/>
      <c r="B89" s="260"/>
      <c r="C89" s="318"/>
      <c r="D89" s="160"/>
      <c r="E89" s="398"/>
      <c r="F89" s="160"/>
      <c r="G89" s="318"/>
      <c r="H89" s="414"/>
      <c r="I89" s="69"/>
      <c r="J89" s="70" t="s">
        <v>10</v>
      </c>
      <c r="K89" s="377">
        <v>160000000</v>
      </c>
      <c r="L89" s="52">
        <v>160000000</v>
      </c>
      <c r="M89" s="24">
        <f t="shared" si="25"/>
        <v>0</v>
      </c>
      <c r="N89" s="433">
        <v>0</v>
      </c>
    </row>
    <row r="90" spans="1:14" ht="19.5" customHeight="1">
      <c r="A90" s="260"/>
      <c r="B90" s="260"/>
      <c r="C90" s="318"/>
      <c r="D90" s="160"/>
      <c r="E90" s="398"/>
      <c r="F90" s="160"/>
      <c r="G90" s="318"/>
      <c r="H90" s="414"/>
      <c r="I90" s="69"/>
      <c r="J90" s="70" t="s">
        <v>11</v>
      </c>
      <c r="K90" s="377">
        <v>0</v>
      </c>
      <c r="L90" s="52"/>
      <c r="M90" s="24">
        <f t="shared" si="25"/>
        <v>0</v>
      </c>
      <c r="N90" s="433">
        <v>0</v>
      </c>
    </row>
    <row r="91" spans="1:14" ht="19.5" customHeight="1">
      <c r="A91" s="260"/>
      <c r="B91" s="318"/>
      <c r="C91" s="318"/>
      <c r="D91" s="160"/>
      <c r="E91" s="398"/>
      <c r="F91" s="160"/>
      <c r="G91" s="318"/>
      <c r="H91" s="414"/>
      <c r="I91" s="69"/>
      <c r="J91" s="92" t="s">
        <v>12</v>
      </c>
      <c r="K91" s="378">
        <v>0</v>
      </c>
      <c r="L91" s="54">
        <v>2000000</v>
      </c>
      <c r="M91" s="39">
        <f t="shared" si="25"/>
        <v>2000000</v>
      </c>
      <c r="N91" s="438">
        <v>0</v>
      </c>
    </row>
    <row r="92" spans="1:14" ht="19.5" customHeight="1">
      <c r="A92" s="260"/>
      <c r="B92" s="318"/>
      <c r="C92" s="318"/>
      <c r="D92" s="160"/>
      <c r="E92" s="398"/>
      <c r="F92" s="160"/>
      <c r="G92" s="318"/>
      <c r="H92" s="413"/>
      <c r="I92" s="69"/>
      <c r="J92" s="93" t="s">
        <v>27</v>
      </c>
      <c r="K92" s="379">
        <f>SUM(K93:K95)</f>
        <v>0</v>
      </c>
      <c r="L92" s="381">
        <f>SUM(L93:L95)</f>
        <v>0</v>
      </c>
      <c r="M92" s="24">
        <f>L92-K92</f>
        <v>0</v>
      </c>
      <c r="N92" s="433" t="e">
        <f>M92/K92*100</f>
        <v>#DIV/0!</v>
      </c>
    </row>
    <row r="93" spans="1:14" ht="16.5" customHeight="1">
      <c r="A93" s="121"/>
      <c r="B93" s="121"/>
      <c r="C93" s="121"/>
      <c r="D93" s="121"/>
      <c r="E93" s="143"/>
      <c r="F93" s="121"/>
      <c r="G93" s="121"/>
      <c r="H93" s="413"/>
      <c r="I93" s="69"/>
      <c r="J93" s="70" t="s">
        <v>10</v>
      </c>
      <c r="K93" s="377"/>
      <c r="L93" s="384"/>
      <c r="M93" s="24">
        <f>L93-K93</f>
        <v>0</v>
      </c>
      <c r="N93" s="433"/>
    </row>
    <row r="94" spans="1:14" ht="16.5" customHeight="1">
      <c r="A94" s="121"/>
      <c r="B94" s="121"/>
      <c r="C94" s="121"/>
      <c r="D94" s="121"/>
      <c r="E94" s="143"/>
      <c r="F94" s="121"/>
      <c r="G94" s="121"/>
      <c r="H94" s="413"/>
      <c r="I94" s="69"/>
      <c r="J94" s="70" t="s">
        <v>11</v>
      </c>
      <c r="K94" s="377"/>
      <c r="L94" s="52"/>
      <c r="M94" s="24">
        <f>L94-K94</f>
        <v>0</v>
      </c>
      <c r="N94" s="433" t="e">
        <f>M94/K94*100</f>
        <v>#DIV/0!</v>
      </c>
    </row>
    <row r="95" spans="1:14" ht="16.5" customHeight="1">
      <c r="A95" s="121"/>
      <c r="B95" s="121"/>
      <c r="C95" s="121"/>
      <c r="D95" s="121"/>
      <c r="E95" s="143"/>
      <c r="F95" s="121"/>
      <c r="G95" s="121"/>
      <c r="H95" s="414"/>
      <c r="I95" s="91"/>
      <c r="J95" s="70" t="s">
        <v>12</v>
      </c>
      <c r="K95" s="377"/>
      <c r="L95" s="52"/>
      <c r="M95" s="24">
        <f>L95-K95</f>
        <v>0</v>
      </c>
      <c r="N95" s="433" t="e">
        <f>M95/K95*100</f>
        <v>#DIV/0!</v>
      </c>
    </row>
    <row r="96" spans="1:14" ht="16.5" customHeight="1">
      <c r="A96" s="121"/>
      <c r="B96" s="121"/>
      <c r="C96" s="121"/>
      <c r="D96" s="121"/>
      <c r="E96" s="143"/>
      <c r="F96" s="121"/>
      <c r="G96" s="121"/>
      <c r="H96" s="414"/>
      <c r="I96" s="69"/>
      <c r="J96" s="93" t="s">
        <v>18</v>
      </c>
      <c r="K96" s="379">
        <f>SUM(K97:K99)</f>
        <v>104616000</v>
      </c>
      <c r="L96" s="381">
        <f>SUM(L97:L99)</f>
        <v>210229740</v>
      </c>
      <c r="M96" s="24">
        <f t="shared" ref="M96:M99" si="29">L96-K96</f>
        <v>105613740</v>
      </c>
      <c r="N96" s="433">
        <f>M96/K96*100</f>
        <v>100.95371644872677</v>
      </c>
    </row>
    <row r="97" spans="1:14" ht="16.5" customHeight="1">
      <c r="A97" s="121"/>
      <c r="B97" s="121"/>
      <c r="C97" s="121"/>
      <c r="D97" s="121"/>
      <c r="E97" s="143"/>
      <c r="F97" s="121"/>
      <c r="G97" s="121"/>
      <c r="H97" s="414"/>
      <c r="I97" s="69"/>
      <c r="J97" s="70" t="s">
        <v>10</v>
      </c>
      <c r="K97" s="377">
        <v>104616000</v>
      </c>
      <c r="L97" s="52">
        <v>210229740</v>
      </c>
      <c r="M97" s="24">
        <f t="shared" si="29"/>
        <v>105613740</v>
      </c>
      <c r="N97" s="433"/>
    </row>
    <row r="98" spans="1:14" ht="16.5" customHeight="1">
      <c r="A98" s="121"/>
      <c r="B98" s="121"/>
      <c r="C98" s="121"/>
      <c r="D98" s="121"/>
      <c r="E98" s="143"/>
      <c r="F98" s="121"/>
      <c r="G98" s="121"/>
      <c r="H98" s="413"/>
      <c r="I98" s="69"/>
      <c r="J98" s="70" t="s">
        <v>11</v>
      </c>
      <c r="K98" s="377"/>
      <c r="L98" s="52"/>
      <c r="M98" s="24">
        <f t="shared" si="29"/>
        <v>0</v>
      </c>
      <c r="N98" s="433" t="e">
        <f t="shared" ref="N98" si="30">M98/K98*100</f>
        <v>#DIV/0!</v>
      </c>
    </row>
    <row r="99" spans="1:14" ht="16.5" customHeight="1">
      <c r="A99" s="121"/>
      <c r="B99" s="121"/>
      <c r="C99" s="121"/>
      <c r="D99" s="121"/>
      <c r="E99" s="143"/>
      <c r="F99" s="121"/>
      <c r="G99" s="121"/>
      <c r="H99" s="413"/>
      <c r="I99" s="69"/>
      <c r="J99" s="70" t="s">
        <v>12</v>
      </c>
      <c r="K99" s="377"/>
      <c r="L99" s="52"/>
      <c r="M99" s="24">
        <f t="shared" si="29"/>
        <v>0</v>
      </c>
      <c r="N99" s="433"/>
    </row>
    <row r="100" spans="1:14" ht="16.5" customHeight="1">
      <c r="A100" s="121"/>
      <c r="B100" s="121"/>
      <c r="C100" s="121"/>
      <c r="D100" s="121"/>
      <c r="E100" s="143"/>
      <c r="F100" s="121"/>
      <c r="G100" s="121"/>
      <c r="H100" s="406" t="s">
        <v>53</v>
      </c>
      <c r="I100" s="15" t="s">
        <v>19</v>
      </c>
      <c r="J100" s="451"/>
      <c r="K100" s="509">
        <f>SUM(K101:K103)</f>
        <v>47349147</v>
      </c>
      <c r="L100" s="452">
        <f>SUM(L101:L103)</f>
        <v>46086750</v>
      </c>
      <c r="M100" s="95">
        <f t="shared" ref="M100:M101" si="31">L100-K100</f>
        <v>-1262397</v>
      </c>
      <c r="N100" s="455">
        <f t="shared" ref="N100:N111" si="32">M100/K100*100</f>
        <v>-2.6661451789194852</v>
      </c>
    </row>
    <row r="101" spans="1:14" ht="16.5" customHeight="1">
      <c r="A101" s="121"/>
      <c r="B101" s="121"/>
      <c r="C101" s="121"/>
      <c r="D101" s="121"/>
      <c r="E101" s="143"/>
      <c r="F101" s="121"/>
      <c r="G101" s="121"/>
      <c r="H101" s="411"/>
      <c r="I101" s="97" t="s">
        <v>14</v>
      </c>
      <c r="J101" s="10" t="s">
        <v>10</v>
      </c>
      <c r="K101" s="98">
        <f t="shared" ref="K101:L103" si="33">SUM(K105,K109,K113,K118,K122,K126,K130,K134)</f>
        <v>18359147</v>
      </c>
      <c r="L101" s="98">
        <f t="shared" si="33"/>
        <v>45086750</v>
      </c>
      <c r="M101" s="56">
        <f t="shared" si="31"/>
        <v>26727603</v>
      </c>
      <c r="N101" s="456">
        <f t="shared" si="32"/>
        <v>145.58194343124984</v>
      </c>
    </row>
    <row r="102" spans="1:14" ht="16.5" customHeight="1">
      <c r="A102" s="121"/>
      <c r="B102" s="121"/>
      <c r="C102" s="121"/>
      <c r="D102" s="121"/>
      <c r="E102" s="143"/>
      <c r="F102" s="121"/>
      <c r="G102" s="121"/>
      <c r="H102" s="409"/>
      <c r="I102" s="41"/>
      <c r="J102" s="10" t="s">
        <v>11</v>
      </c>
      <c r="K102" s="98">
        <f t="shared" si="33"/>
        <v>26000000</v>
      </c>
      <c r="L102" s="98">
        <f t="shared" si="33"/>
        <v>0</v>
      </c>
      <c r="M102" s="56">
        <f>L102-K102</f>
        <v>-26000000</v>
      </c>
      <c r="N102" s="456">
        <f t="shared" si="32"/>
        <v>-100</v>
      </c>
    </row>
    <row r="103" spans="1:14" ht="16.5" customHeight="1">
      <c r="A103" s="121"/>
      <c r="B103" s="121"/>
      <c r="C103" s="121"/>
      <c r="D103" s="121"/>
      <c r="E103" s="143"/>
      <c r="F103" s="121"/>
      <c r="G103" s="121"/>
      <c r="H103" s="409"/>
      <c r="I103" s="41"/>
      <c r="J103" s="10" t="s">
        <v>12</v>
      </c>
      <c r="K103" s="98">
        <f t="shared" si="33"/>
        <v>2990000</v>
      </c>
      <c r="L103" s="98">
        <f t="shared" si="33"/>
        <v>1000000</v>
      </c>
      <c r="M103" s="56">
        <f t="shared" ref="M103:M107" si="34">L103-K103</f>
        <v>-1990000</v>
      </c>
      <c r="N103" s="456">
        <f t="shared" si="32"/>
        <v>-66.555183946488299</v>
      </c>
    </row>
    <row r="104" spans="1:14" ht="16.5" customHeight="1">
      <c r="A104" s="121"/>
      <c r="B104" s="121"/>
      <c r="C104" s="121"/>
      <c r="D104" s="121"/>
      <c r="E104" s="143"/>
      <c r="F104" s="121"/>
      <c r="G104" s="121"/>
      <c r="H104" s="409"/>
      <c r="I104" s="51"/>
      <c r="J104" s="29" t="s">
        <v>98</v>
      </c>
      <c r="K104" s="376">
        <f>SUM(K105:K107)</f>
        <v>15879147</v>
      </c>
      <c r="L104" s="77">
        <f>SUM(L105:L107)</f>
        <v>26776820</v>
      </c>
      <c r="M104" s="100">
        <f t="shared" si="34"/>
        <v>10897673</v>
      </c>
      <c r="N104" s="457">
        <f t="shared" si="32"/>
        <v>68.628831259009061</v>
      </c>
    </row>
    <row r="105" spans="1:14" ht="16.5" customHeight="1">
      <c r="A105" s="121"/>
      <c r="B105" s="121"/>
      <c r="C105" s="121"/>
      <c r="D105" s="121"/>
      <c r="E105" s="143"/>
      <c r="F105" s="121"/>
      <c r="G105" s="121"/>
      <c r="H105" s="409"/>
      <c r="I105" s="51"/>
      <c r="J105" s="10" t="s">
        <v>10</v>
      </c>
      <c r="K105" s="377">
        <v>12749147</v>
      </c>
      <c r="L105" s="52">
        <v>26776820</v>
      </c>
      <c r="M105" s="78">
        <f t="shared" si="34"/>
        <v>14027673</v>
      </c>
      <c r="N105" s="458">
        <f t="shared" si="32"/>
        <v>110.0283258166213</v>
      </c>
    </row>
    <row r="106" spans="1:14" ht="16.5" customHeight="1">
      <c r="A106" s="121"/>
      <c r="B106" s="121"/>
      <c r="C106" s="121"/>
      <c r="D106" s="121"/>
      <c r="E106" s="143"/>
      <c r="F106" s="121"/>
      <c r="G106" s="121"/>
      <c r="H106" s="409"/>
      <c r="I106" s="51"/>
      <c r="J106" s="10" t="s">
        <v>11</v>
      </c>
      <c r="K106" s="377">
        <v>3130000</v>
      </c>
      <c r="L106" s="52">
        <v>0</v>
      </c>
      <c r="M106" s="78">
        <f t="shared" si="34"/>
        <v>-3130000</v>
      </c>
      <c r="N106" s="458">
        <f t="shared" si="32"/>
        <v>-100</v>
      </c>
    </row>
    <row r="107" spans="1:14" ht="16.5" customHeight="1">
      <c r="A107" s="121"/>
      <c r="B107" s="121"/>
      <c r="C107" s="121"/>
      <c r="D107" s="121"/>
      <c r="E107" s="143"/>
      <c r="F107" s="121"/>
      <c r="G107" s="121"/>
      <c r="H107" s="409"/>
      <c r="I107" s="41"/>
      <c r="J107" s="10" t="s">
        <v>12</v>
      </c>
      <c r="K107" s="377"/>
      <c r="L107" s="52"/>
      <c r="M107" s="78">
        <f t="shared" si="34"/>
        <v>0</v>
      </c>
      <c r="N107" s="458" t="e">
        <f t="shared" si="32"/>
        <v>#DIV/0!</v>
      </c>
    </row>
    <row r="108" spans="1:14" ht="16.5" customHeight="1">
      <c r="A108" s="121"/>
      <c r="B108" s="121"/>
      <c r="C108" s="121"/>
      <c r="D108" s="121"/>
      <c r="E108" s="143"/>
      <c r="F108" s="121"/>
      <c r="G108" s="121"/>
      <c r="H108" s="409"/>
      <c r="I108" s="41"/>
      <c r="J108" s="101" t="s">
        <v>99</v>
      </c>
      <c r="K108" s="389">
        <f>SUM(K109:K111)</f>
        <v>6800000</v>
      </c>
      <c r="L108" s="394">
        <f>SUM(L109:L111)</f>
        <v>4930500</v>
      </c>
      <c r="M108" s="102">
        <f>L108-K108</f>
        <v>-1869500</v>
      </c>
      <c r="N108" s="459">
        <f t="shared" si="32"/>
        <v>-27.492647058823529</v>
      </c>
    </row>
    <row r="109" spans="1:14" ht="16.5" customHeight="1">
      <c r="A109" s="121"/>
      <c r="B109" s="121"/>
      <c r="C109" s="121"/>
      <c r="D109" s="121"/>
      <c r="E109" s="143"/>
      <c r="F109" s="121"/>
      <c r="G109" s="121"/>
      <c r="H109" s="409"/>
      <c r="I109" s="41"/>
      <c r="J109" s="10" t="s">
        <v>10</v>
      </c>
      <c r="K109" s="395">
        <v>3810000</v>
      </c>
      <c r="L109" s="52">
        <v>4930500</v>
      </c>
      <c r="M109" s="103">
        <f t="shared" ref="M109:M111" si="35">L109-K109</f>
        <v>1120500</v>
      </c>
      <c r="N109" s="460">
        <f t="shared" si="32"/>
        <v>29.409448818897637</v>
      </c>
    </row>
    <row r="110" spans="1:14" ht="16.5" customHeight="1">
      <c r="A110" s="121"/>
      <c r="B110" s="121"/>
      <c r="C110" s="121"/>
      <c r="D110" s="121"/>
      <c r="E110" s="143"/>
      <c r="F110" s="121"/>
      <c r="G110" s="121"/>
      <c r="H110" s="409"/>
      <c r="I110" s="41"/>
      <c r="J110" s="10" t="s">
        <v>11</v>
      </c>
      <c r="K110" s="377"/>
      <c r="L110" s="52"/>
      <c r="M110" s="103">
        <f t="shared" si="35"/>
        <v>0</v>
      </c>
      <c r="N110" s="460" t="e">
        <f t="shared" si="32"/>
        <v>#DIV/0!</v>
      </c>
    </row>
    <row r="111" spans="1:14" ht="16.5" customHeight="1">
      <c r="A111" s="121"/>
      <c r="B111" s="121"/>
      <c r="C111" s="121"/>
      <c r="D111" s="121"/>
      <c r="E111" s="143"/>
      <c r="F111" s="121"/>
      <c r="G111" s="121"/>
      <c r="H111" s="409"/>
      <c r="I111" s="41"/>
      <c r="J111" s="10" t="s">
        <v>12</v>
      </c>
      <c r="K111" s="56">
        <v>2990000</v>
      </c>
      <c r="L111" s="85">
        <v>0</v>
      </c>
      <c r="M111" s="103">
        <f t="shared" si="35"/>
        <v>-2990000</v>
      </c>
      <c r="N111" s="460">
        <f t="shared" si="32"/>
        <v>-100</v>
      </c>
    </row>
    <row r="112" spans="1:14" ht="16.5" customHeight="1">
      <c r="A112" s="121"/>
      <c r="B112" s="121"/>
      <c r="C112" s="121"/>
      <c r="D112" s="121"/>
      <c r="E112" s="143"/>
      <c r="F112" s="121"/>
      <c r="G112" s="121"/>
      <c r="H112" s="411"/>
      <c r="I112" s="97"/>
      <c r="J112" s="29" t="s">
        <v>100</v>
      </c>
      <c r="K112" s="389">
        <f>SUM(K113:K115)</f>
        <v>1350000</v>
      </c>
      <c r="L112" s="394">
        <f>SUM(L113:L115)</f>
        <v>0</v>
      </c>
      <c r="M112" s="100">
        <f t="shared" ref="M112:M115" si="36">L112-K112</f>
        <v>-1350000</v>
      </c>
      <c r="N112" s="461">
        <f t="shared" ref="N112:N115" si="37">M112/K112*100</f>
        <v>-100</v>
      </c>
    </row>
    <row r="113" spans="1:14" ht="16.5" customHeight="1">
      <c r="A113" s="121"/>
      <c r="B113" s="121"/>
      <c r="C113" s="121"/>
      <c r="D113" s="121"/>
      <c r="E113" s="143"/>
      <c r="F113" s="121"/>
      <c r="G113" s="121"/>
      <c r="H113" s="409"/>
      <c r="I113" s="41"/>
      <c r="J113" s="10" t="s">
        <v>10</v>
      </c>
      <c r="K113" s="377"/>
      <c r="L113" s="52"/>
      <c r="M113" s="78">
        <f t="shared" si="36"/>
        <v>0</v>
      </c>
      <c r="N113" s="462" t="e">
        <f t="shared" si="37"/>
        <v>#DIV/0!</v>
      </c>
    </row>
    <row r="114" spans="1:14" ht="16.5" customHeight="1">
      <c r="A114" s="121"/>
      <c r="B114" s="121"/>
      <c r="C114" s="121"/>
      <c r="D114" s="121"/>
      <c r="E114" s="143"/>
      <c r="F114" s="121"/>
      <c r="G114" s="121"/>
      <c r="H114" s="409"/>
      <c r="I114" s="41"/>
      <c r="J114" s="10" t="s">
        <v>11</v>
      </c>
      <c r="K114" s="377">
        <v>1350000</v>
      </c>
      <c r="L114" s="52">
        <v>0</v>
      </c>
      <c r="M114" s="78">
        <f t="shared" si="36"/>
        <v>-1350000</v>
      </c>
      <c r="N114" s="462">
        <f t="shared" si="37"/>
        <v>-100</v>
      </c>
    </row>
    <row r="115" spans="1:14" ht="16.5" customHeight="1">
      <c r="A115" s="121"/>
      <c r="B115" s="121"/>
      <c r="C115" s="121"/>
      <c r="D115" s="121"/>
      <c r="E115" s="143"/>
      <c r="F115" s="121"/>
      <c r="G115" s="121"/>
      <c r="H115" s="409"/>
      <c r="I115" s="41"/>
      <c r="J115" s="10" t="s">
        <v>12</v>
      </c>
      <c r="K115" s="377"/>
      <c r="L115" s="52"/>
      <c r="M115" s="78">
        <f t="shared" si="36"/>
        <v>0</v>
      </c>
      <c r="N115" s="462" t="e">
        <f t="shared" si="37"/>
        <v>#DIV/0!</v>
      </c>
    </row>
    <row r="116" spans="1:14" ht="16.5" customHeight="1">
      <c r="A116" s="121"/>
      <c r="B116" s="121"/>
      <c r="C116" s="121"/>
      <c r="D116" s="121"/>
      <c r="E116" s="143"/>
      <c r="F116" s="121"/>
      <c r="G116" s="121"/>
      <c r="H116" s="409"/>
      <c r="I116" s="41"/>
      <c r="J116" s="10"/>
      <c r="K116" s="377"/>
      <c r="L116" s="52"/>
      <c r="M116" s="78"/>
      <c r="N116" s="462"/>
    </row>
    <row r="117" spans="1:14" ht="16.5" customHeight="1">
      <c r="A117" s="121"/>
      <c r="B117" s="121"/>
      <c r="C117" s="121"/>
      <c r="D117" s="121"/>
      <c r="E117" s="143"/>
      <c r="F117" s="121"/>
      <c r="G117" s="121"/>
      <c r="H117" s="409"/>
      <c r="I117" s="41"/>
      <c r="J117" s="29" t="s">
        <v>101</v>
      </c>
      <c r="K117" s="376">
        <f>SUM(K118:K120)</f>
        <v>21000000</v>
      </c>
      <c r="L117" s="77">
        <f>SUM(L118:L120)</f>
        <v>7890600</v>
      </c>
      <c r="M117" s="100">
        <f t="shared" ref="M117:M125" si="38">L117-K117</f>
        <v>-13109400</v>
      </c>
      <c r="N117" s="435">
        <f t="shared" ref="N117:N124" si="39">M117/K117*100</f>
        <v>-62.425714285714285</v>
      </c>
    </row>
    <row r="118" spans="1:14" ht="16.5" customHeight="1">
      <c r="A118" s="121"/>
      <c r="B118" s="121"/>
      <c r="C118" s="121"/>
      <c r="D118" s="121"/>
      <c r="E118" s="143"/>
      <c r="F118" s="121"/>
      <c r="G118" s="121"/>
      <c r="H118" s="409"/>
      <c r="I118" s="41"/>
      <c r="J118" s="10" t="s">
        <v>10</v>
      </c>
      <c r="K118" s="377"/>
      <c r="L118" s="52">
        <v>7890600</v>
      </c>
      <c r="M118" s="78">
        <f t="shared" si="38"/>
        <v>7890600</v>
      </c>
      <c r="N118" s="433" t="e">
        <f t="shared" si="39"/>
        <v>#DIV/0!</v>
      </c>
    </row>
    <row r="119" spans="1:14" ht="16.5" customHeight="1">
      <c r="A119" s="121"/>
      <c r="B119" s="121"/>
      <c r="C119" s="121"/>
      <c r="D119" s="121"/>
      <c r="E119" s="143"/>
      <c r="F119" s="121"/>
      <c r="G119" s="121"/>
      <c r="H119" s="409"/>
      <c r="I119" s="41"/>
      <c r="J119" s="10" t="s">
        <v>11</v>
      </c>
      <c r="K119" s="377">
        <v>21000000</v>
      </c>
      <c r="L119" s="52">
        <v>0</v>
      </c>
      <c r="M119" s="78">
        <f t="shared" si="38"/>
        <v>-21000000</v>
      </c>
      <c r="N119" s="433">
        <f t="shared" si="39"/>
        <v>-100</v>
      </c>
    </row>
    <row r="120" spans="1:14" ht="16.5" customHeight="1">
      <c r="A120" s="121"/>
      <c r="B120" s="121"/>
      <c r="C120" s="121"/>
      <c r="D120" s="121"/>
      <c r="E120" s="143"/>
      <c r="F120" s="121"/>
      <c r="G120" s="121"/>
      <c r="H120" s="409"/>
      <c r="I120" s="41"/>
      <c r="J120" s="36" t="s">
        <v>12</v>
      </c>
      <c r="K120" s="378"/>
      <c r="L120" s="54"/>
      <c r="M120" s="58">
        <f t="shared" si="38"/>
        <v>0</v>
      </c>
      <c r="N120" s="433" t="e">
        <f t="shared" si="39"/>
        <v>#DIV/0!</v>
      </c>
    </row>
    <row r="121" spans="1:14" ht="16.5" customHeight="1">
      <c r="A121" s="121"/>
      <c r="B121" s="121"/>
      <c r="C121" s="121"/>
      <c r="D121" s="121"/>
      <c r="E121" s="143"/>
      <c r="F121" s="121"/>
      <c r="G121" s="121"/>
      <c r="H121" s="409"/>
      <c r="I121" s="41"/>
      <c r="J121" s="29" t="s">
        <v>102</v>
      </c>
      <c r="K121" s="508">
        <f>SUM(K122:K124)</f>
        <v>420000</v>
      </c>
      <c r="L121" s="376">
        <f>SUM(L122:L124)</f>
        <v>0</v>
      </c>
      <c r="M121" s="100">
        <f t="shared" si="38"/>
        <v>-420000</v>
      </c>
      <c r="N121" s="433">
        <f t="shared" si="39"/>
        <v>-100</v>
      </c>
    </row>
    <row r="122" spans="1:14" ht="16.5" customHeight="1">
      <c r="A122" s="121"/>
      <c r="B122" s="121"/>
      <c r="C122" s="121"/>
      <c r="D122" s="121"/>
      <c r="E122" s="143"/>
      <c r="F122" s="121"/>
      <c r="G122" s="121"/>
      <c r="H122" s="409"/>
      <c r="I122" s="41"/>
      <c r="J122" s="10" t="s">
        <v>10</v>
      </c>
      <c r="K122" s="377">
        <v>0</v>
      </c>
      <c r="L122" s="52"/>
      <c r="M122" s="78">
        <f t="shared" si="38"/>
        <v>0</v>
      </c>
      <c r="N122" s="433" t="e">
        <f t="shared" si="39"/>
        <v>#DIV/0!</v>
      </c>
    </row>
    <row r="123" spans="1:14" ht="16.5" customHeight="1">
      <c r="A123" s="121"/>
      <c r="B123" s="121"/>
      <c r="C123" s="121"/>
      <c r="D123" s="121"/>
      <c r="E123" s="143"/>
      <c r="F123" s="121"/>
      <c r="G123" s="121"/>
      <c r="H123" s="409"/>
      <c r="I123" s="41"/>
      <c r="J123" s="10" t="s">
        <v>11</v>
      </c>
      <c r="K123" s="377">
        <v>420000</v>
      </c>
      <c r="L123" s="52">
        <v>0</v>
      </c>
      <c r="M123" s="78">
        <f t="shared" si="38"/>
        <v>-420000</v>
      </c>
      <c r="N123" s="433">
        <f t="shared" si="39"/>
        <v>-100</v>
      </c>
    </row>
    <row r="124" spans="1:14" ht="16.5" customHeight="1">
      <c r="A124" s="121"/>
      <c r="B124" s="121"/>
      <c r="C124" s="121"/>
      <c r="D124" s="121"/>
      <c r="E124" s="143"/>
      <c r="F124" s="121"/>
      <c r="G124" s="121"/>
      <c r="H124" s="409"/>
      <c r="I124" s="41"/>
      <c r="J124" s="36" t="s">
        <v>12</v>
      </c>
      <c r="K124" s="378">
        <v>0</v>
      </c>
      <c r="L124" s="54"/>
      <c r="M124" s="58">
        <f t="shared" si="38"/>
        <v>0</v>
      </c>
      <c r="N124" s="433" t="e">
        <f t="shared" si="39"/>
        <v>#DIV/0!</v>
      </c>
    </row>
    <row r="125" spans="1:14" ht="16.5" customHeight="1">
      <c r="A125" s="121"/>
      <c r="B125" s="121"/>
      <c r="C125" s="121"/>
      <c r="D125" s="121"/>
      <c r="E125" s="143"/>
      <c r="F125" s="121"/>
      <c r="G125" s="121"/>
      <c r="H125" s="417"/>
      <c r="I125" s="106"/>
      <c r="J125" s="42" t="s">
        <v>103</v>
      </c>
      <c r="K125" s="390">
        <f>SUM(K126:K128)</f>
        <v>100000</v>
      </c>
      <c r="L125" s="246">
        <f>SUM(L126:L128)</f>
        <v>3225000</v>
      </c>
      <c r="M125" s="78">
        <f t="shared" si="38"/>
        <v>3125000</v>
      </c>
      <c r="N125" s="461">
        <f>M125/K125*100</f>
        <v>3125</v>
      </c>
    </row>
    <row r="126" spans="1:14" ht="16.5" customHeight="1">
      <c r="A126" s="121"/>
      <c r="B126" s="121"/>
      <c r="C126" s="121"/>
      <c r="D126" s="121"/>
      <c r="E126" s="143"/>
      <c r="F126" s="121"/>
      <c r="G126" s="121"/>
      <c r="H126" s="417"/>
      <c r="I126" s="106"/>
      <c r="J126" s="10" t="s">
        <v>10</v>
      </c>
      <c r="K126" s="391"/>
      <c r="L126" s="52">
        <v>2225000</v>
      </c>
      <c r="M126" s="78">
        <f>L126-K126</f>
        <v>2225000</v>
      </c>
      <c r="N126" s="462" t="e">
        <f>M126/K126*100</f>
        <v>#DIV/0!</v>
      </c>
    </row>
    <row r="127" spans="1:14" ht="16.5" customHeight="1">
      <c r="A127" s="121"/>
      <c r="B127" s="121"/>
      <c r="C127" s="121"/>
      <c r="D127" s="121"/>
      <c r="E127" s="143"/>
      <c r="F127" s="121"/>
      <c r="G127" s="121"/>
      <c r="H127" s="417"/>
      <c r="I127" s="106"/>
      <c r="J127" s="10" t="s">
        <v>11</v>
      </c>
      <c r="K127" s="391">
        <v>100000</v>
      </c>
      <c r="L127" s="52">
        <v>0</v>
      </c>
      <c r="M127" s="78">
        <f>L127-K127</f>
        <v>-100000</v>
      </c>
      <c r="N127" s="462">
        <f>M127/K127*100</f>
        <v>-100</v>
      </c>
    </row>
    <row r="128" spans="1:14" ht="16.5" customHeight="1">
      <c r="A128" s="121"/>
      <c r="B128" s="121"/>
      <c r="C128" s="121"/>
      <c r="D128" s="121"/>
      <c r="E128" s="143"/>
      <c r="F128" s="121"/>
      <c r="G128" s="121"/>
      <c r="H128" s="417"/>
      <c r="I128" s="106"/>
      <c r="J128" s="36" t="s">
        <v>12</v>
      </c>
      <c r="K128" s="392"/>
      <c r="L128" s="54">
        <v>1000000</v>
      </c>
      <c r="M128" s="58">
        <f>L128-K128</f>
        <v>1000000</v>
      </c>
      <c r="N128" s="463" t="e">
        <f>M128/K128*100</f>
        <v>#DIV/0!</v>
      </c>
    </row>
    <row r="129" spans="1:14" ht="16.5" customHeight="1">
      <c r="A129" s="121"/>
      <c r="B129" s="121"/>
      <c r="C129" s="121"/>
      <c r="D129" s="121"/>
      <c r="E129" s="143"/>
      <c r="F129" s="121"/>
      <c r="G129" s="121"/>
      <c r="H129" s="418"/>
      <c r="I129" s="106"/>
      <c r="J129" s="175" t="s">
        <v>104</v>
      </c>
      <c r="K129" s="390">
        <f>SUM(K130:K132)</f>
        <v>0</v>
      </c>
      <c r="L129" s="257">
        <f>SUM(L130:L132)</f>
        <v>1800000</v>
      </c>
      <c r="M129" s="78">
        <f>L129-K129</f>
        <v>1800000</v>
      </c>
      <c r="N129" s="462" t="e">
        <f>M129/K129*100</f>
        <v>#DIV/0!</v>
      </c>
    </row>
    <row r="130" spans="1:14" ht="16.5" customHeight="1">
      <c r="A130" s="121"/>
      <c r="B130" s="121"/>
      <c r="C130" s="121"/>
      <c r="D130" s="121"/>
      <c r="E130" s="143"/>
      <c r="F130" s="121"/>
      <c r="G130" s="121"/>
      <c r="H130" s="418"/>
      <c r="I130" s="106"/>
      <c r="J130" s="107" t="s">
        <v>10</v>
      </c>
      <c r="K130" s="377"/>
      <c r="L130" s="52">
        <v>1800000</v>
      </c>
      <c r="M130" s="78">
        <f>L130-K130</f>
        <v>1800000</v>
      </c>
      <c r="N130" s="433" t="e">
        <f t="shared" ref="N130:N131" si="40">M130/K130*100</f>
        <v>#DIV/0!</v>
      </c>
    </row>
    <row r="131" spans="1:14" ht="16.5" customHeight="1">
      <c r="A131" s="121"/>
      <c r="B131" s="121"/>
      <c r="C131" s="121"/>
      <c r="D131" s="121"/>
      <c r="E131" s="143"/>
      <c r="F131" s="121"/>
      <c r="G131" s="121"/>
      <c r="H131" s="418"/>
      <c r="I131" s="108"/>
      <c r="J131" s="94" t="s">
        <v>11</v>
      </c>
      <c r="K131" s="393"/>
      <c r="L131" s="52"/>
      <c r="M131" s="78">
        <f t="shared" ref="M131:M132" si="41">L131-K131</f>
        <v>0</v>
      </c>
      <c r="N131" s="433" t="e">
        <f t="shared" si="40"/>
        <v>#DIV/0!</v>
      </c>
    </row>
    <row r="132" spans="1:14" ht="16.5" customHeight="1">
      <c r="A132" s="121"/>
      <c r="B132" s="121"/>
      <c r="C132" s="121"/>
      <c r="D132" s="121"/>
      <c r="E132" s="143"/>
      <c r="F132" s="121"/>
      <c r="G132" s="121"/>
      <c r="H132" s="418"/>
      <c r="I132" s="108"/>
      <c r="J132" s="36" t="s">
        <v>12</v>
      </c>
      <c r="K132" s="378"/>
      <c r="L132" s="54"/>
      <c r="M132" s="58">
        <f t="shared" si="41"/>
        <v>0</v>
      </c>
      <c r="N132" s="463" t="e">
        <f>M132/K132*100</f>
        <v>#DIV/0!</v>
      </c>
    </row>
    <row r="133" spans="1:14" ht="16.5" customHeight="1">
      <c r="A133" s="121"/>
      <c r="B133" s="121"/>
      <c r="C133" s="121"/>
      <c r="D133" s="121"/>
      <c r="E133" s="143"/>
      <c r="F133" s="121"/>
      <c r="G133" s="121"/>
      <c r="H133" s="418"/>
      <c r="I133" s="109"/>
      <c r="J133" s="42" t="s">
        <v>30</v>
      </c>
      <c r="K133" s="390">
        <f>SUM(K134:K136)</f>
        <v>1800000</v>
      </c>
      <c r="L133" s="257">
        <f>SUM(L134:L136)</f>
        <v>1463830</v>
      </c>
      <c r="M133" s="24">
        <f t="shared" ref="M133:M139" si="42">L133-K133</f>
        <v>-336170</v>
      </c>
      <c r="N133" s="433">
        <f>M133/K133*100</f>
        <v>-18.676111111111108</v>
      </c>
    </row>
    <row r="134" spans="1:14" ht="16.5" customHeight="1">
      <c r="A134" s="121"/>
      <c r="B134" s="121"/>
      <c r="C134" s="121"/>
      <c r="D134" s="121"/>
      <c r="E134" s="143"/>
      <c r="F134" s="121"/>
      <c r="G134" s="121"/>
      <c r="H134" s="418"/>
      <c r="I134" s="109"/>
      <c r="J134" s="10" t="s">
        <v>10</v>
      </c>
      <c r="K134" s="85">
        <v>1800000</v>
      </c>
      <c r="L134" s="52">
        <v>1463830</v>
      </c>
      <c r="M134" s="24">
        <f t="shared" si="42"/>
        <v>-336170</v>
      </c>
      <c r="N134" s="433">
        <v>0</v>
      </c>
    </row>
    <row r="135" spans="1:14" ht="16.5" customHeight="1">
      <c r="A135" s="121"/>
      <c r="B135" s="121"/>
      <c r="C135" s="121"/>
      <c r="D135" s="121"/>
      <c r="E135" s="143"/>
      <c r="F135" s="121"/>
      <c r="G135" s="121"/>
      <c r="H135" s="418"/>
      <c r="I135" s="109"/>
      <c r="J135" s="94" t="s">
        <v>11</v>
      </c>
      <c r="K135" s="56"/>
      <c r="L135" s="52"/>
      <c r="M135" s="24">
        <f t="shared" si="42"/>
        <v>0</v>
      </c>
      <c r="N135" s="433" t="e">
        <f t="shared" ref="N135:N136" si="43">M135/K135*100</f>
        <v>#DIV/0!</v>
      </c>
    </row>
    <row r="136" spans="1:14" ht="16.5" customHeight="1">
      <c r="A136" s="121"/>
      <c r="B136" s="121"/>
      <c r="C136" s="121"/>
      <c r="D136" s="121"/>
      <c r="E136" s="143"/>
      <c r="F136" s="121"/>
      <c r="G136" s="121"/>
      <c r="H136" s="418"/>
      <c r="I136" s="109"/>
      <c r="J136" s="10" t="s">
        <v>12</v>
      </c>
      <c r="K136" s="56"/>
      <c r="L136" s="52"/>
      <c r="M136" s="24">
        <f t="shared" si="42"/>
        <v>0</v>
      </c>
      <c r="N136" s="433" t="e">
        <f t="shared" si="43"/>
        <v>#DIV/0!</v>
      </c>
    </row>
    <row r="137" spans="1:14" ht="16.5" customHeight="1">
      <c r="A137" s="121"/>
      <c r="B137" s="121"/>
      <c r="C137" s="121"/>
      <c r="D137" s="121"/>
      <c r="E137" s="143"/>
      <c r="F137" s="121"/>
      <c r="G137" s="121"/>
      <c r="H137" s="419" t="s">
        <v>20</v>
      </c>
      <c r="I137" s="146" t="s">
        <v>20</v>
      </c>
      <c r="J137" s="110" t="s">
        <v>21</v>
      </c>
      <c r="K137" s="66">
        <v>16259830</v>
      </c>
      <c r="L137" s="111">
        <f>세출!E220</f>
        <v>0</v>
      </c>
      <c r="M137" s="19">
        <f t="shared" si="42"/>
        <v>-16259830</v>
      </c>
      <c r="N137" s="432">
        <f t="shared" ref="N137" si="44">M137/K137*100</f>
        <v>-100</v>
      </c>
    </row>
    <row r="138" spans="1:14" ht="16.5" customHeight="1">
      <c r="A138" s="121"/>
      <c r="B138" s="121"/>
      <c r="C138" s="121"/>
      <c r="D138" s="121"/>
      <c r="E138" s="143"/>
      <c r="F138" s="121"/>
      <c r="G138" s="121"/>
      <c r="H138" s="420"/>
      <c r="I138" s="147"/>
      <c r="J138" s="112" t="s">
        <v>20</v>
      </c>
      <c r="K138" s="113">
        <v>0</v>
      </c>
      <c r="L138" s="114">
        <v>50000</v>
      </c>
      <c r="M138" s="115">
        <f t="shared" si="42"/>
        <v>50000</v>
      </c>
      <c r="N138" s="464">
        <v>0</v>
      </c>
    </row>
    <row r="139" spans="1:14" ht="16.5" customHeight="1">
      <c r="A139" s="121"/>
      <c r="B139" s="121"/>
      <c r="C139" s="121"/>
      <c r="D139" s="121"/>
      <c r="E139" s="143"/>
      <c r="F139" s="121"/>
      <c r="G139" s="121"/>
      <c r="H139" s="421" t="s">
        <v>29</v>
      </c>
      <c r="I139" s="148" t="s">
        <v>29</v>
      </c>
      <c r="J139" s="116" t="s">
        <v>57</v>
      </c>
      <c r="K139" s="117">
        <v>0</v>
      </c>
      <c r="L139" s="118">
        <f>S139</f>
        <v>0</v>
      </c>
      <c r="M139" s="119">
        <f t="shared" si="42"/>
        <v>0</v>
      </c>
      <c r="N139" s="465">
        <v>0</v>
      </c>
    </row>
    <row r="140" spans="1:14" ht="16.5" customHeight="1">
      <c r="I140" s="121"/>
      <c r="J140" s="121"/>
      <c r="K140" s="121"/>
      <c r="L140" s="121"/>
      <c r="M140" s="121"/>
      <c r="N140" s="121"/>
    </row>
    <row r="141" spans="1:14" ht="16.5" customHeight="1">
      <c r="I141" s="121"/>
      <c r="J141" s="121"/>
      <c r="K141" s="121"/>
      <c r="L141" s="121"/>
      <c r="M141" s="121"/>
      <c r="N141" s="121"/>
    </row>
  </sheetData>
  <mergeCells count="26">
    <mergeCell ref="A2:N2"/>
    <mergeCell ref="J5:J6"/>
    <mergeCell ref="M5:N5"/>
    <mergeCell ref="A3:B3"/>
    <mergeCell ref="H7:J7"/>
    <mergeCell ref="A7:C7"/>
    <mergeCell ref="M3:N3"/>
    <mergeCell ref="A5:A6"/>
    <mergeCell ref="B5:B6"/>
    <mergeCell ref="C5:C6"/>
    <mergeCell ref="F5:G5"/>
    <mergeCell ref="H5:H6"/>
    <mergeCell ref="I5:I6"/>
    <mergeCell ref="A4:G4"/>
    <mergeCell ref="B29:C29"/>
    <mergeCell ref="B17:C17"/>
    <mergeCell ref="B21:C21"/>
    <mergeCell ref="B26:C26"/>
    <mergeCell ref="H4:N4"/>
    <mergeCell ref="B11:C11"/>
    <mergeCell ref="H9:J9"/>
    <mergeCell ref="H8:J8"/>
    <mergeCell ref="A8:C8"/>
    <mergeCell ref="A9:C9"/>
    <mergeCell ref="A10:C10"/>
    <mergeCell ref="H10:J10"/>
  </mergeCells>
  <phoneticPr fontId="2" type="noConversion"/>
  <pageMargins left="0.23622047244094491" right="0.23622047244094491" top="0.55118110236220474" bottom="0.35433070866141736" header="0.31496062992125984" footer="0.31496062992125984"/>
  <pageSetup paperSize="9" scale="85" fitToHeight="0" orientation="landscape" r:id="rId1"/>
  <headerFooter alignWithMargins="0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세입</vt:lpstr>
      <vt:lpstr>세출</vt:lpstr>
      <vt:lpstr>총괄</vt:lpstr>
      <vt:lpstr>세출!Print_Area</vt:lpstr>
      <vt:lpstr>총괄!Print_Area</vt:lpstr>
      <vt:lpstr>세입!Print_Titles</vt:lpstr>
      <vt:lpstr>세출!Print_Titles</vt:lpstr>
      <vt:lpstr>총괄!Print_Titles</vt:lpstr>
    </vt:vector>
  </TitlesOfParts>
  <Company>늘푸른나무 복지관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박양신</dc:creator>
  <cp:lastModifiedBy>ADMIN</cp:lastModifiedBy>
  <cp:lastPrinted>2020-12-08T00:35:22Z</cp:lastPrinted>
  <dcterms:created xsi:type="dcterms:W3CDTF">2005-01-22T08:35:33Z</dcterms:created>
  <dcterms:modified xsi:type="dcterms:W3CDTF">2020-12-09T08:28:01Z</dcterms:modified>
</cp:coreProperties>
</file>